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6A47CE87-932A-4CA8-8A31-CF1FE9ED8BD7}" xr6:coauthVersionLast="47" xr6:coauthVersionMax="47" xr10:uidLastSave="{00000000-0000-0000-0000-000000000000}"/>
  <bookViews>
    <workbookView xWindow="-120" yWindow="-120" windowWidth="20730" windowHeight="11160" xr2:uid="{E714DA29-893F-4A40-AE95-1AC65F1EBD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18" i="1" l="1"/>
  <c r="X72" i="1"/>
  <c r="X51" i="1"/>
  <c r="G51" i="1"/>
  <c r="A51" i="1"/>
  <c r="X75" i="1"/>
  <c r="G75" i="1"/>
  <c r="X12" i="1"/>
  <c r="X66" i="1"/>
  <c r="X61" i="1"/>
  <c r="X37" i="1"/>
  <c r="X31" i="1"/>
  <c r="X32" i="1"/>
  <c r="X117" i="1"/>
  <c r="G117" i="1"/>
  <c r="A117" i="1"/>
  <c r="X87" i="1"/>
  <c r="G87" i="1"/>
  <c r="A87" i="1"/>
  <c r="X29" i="1"/>
  <c r="G29" i="1"/>
  <c r="A29" i="1"/>
  <c r="X36" i="1"/>
  <c r="G36" i="1"/>
  <c r="A36" i="1"/>
  <c r="G69" i="1"/>
  <c r="A69" i="1"/>
  <c r="X98" i="1"/>
  <c r="G98" i="1"/>
  <c r="A98" i="1"/>
  <c r="X19" i="1"/>
  <c r="G19" i="1"/>
  <c r="A19" i="1"/>
  <c r="X78" i="1"/>
  <c r="G78" i="1"/>
  <c r="A78" i="1"/>
  <c r="G118" i="1"/>
  <c r="A118" i="1"/>
  <c r="X62" i="1"/>
  <c r="G62" i="1"/>
  <c r="A62" i="1"/>
  <c r="X52" i="1"/>
  <c r="G52" i="1"/>
  <c r="A52" i="1"/>
  <c r="G56" i="1"/>
  <c r="A56" i="1"/>
  <c r="X48" i="1"/>
  <c r="G48" i="1"/>
  <c r="A48" i="1"/>
  <c r="X111" i="1"/>
  <c r="X17" i="1"/>
  <c r="G17" i="1"/>
  <c r="A17" i="1"/>
  <c r="X90" i="1"/>
  <c r="G90" i="1"/>
  <c r="A90" i="1"/>
  <c r="X13" i="1"/>
  <c r="G13" i="1"/>
  <c r="A13" i="1"/>
  <c r="X53" i="1"/>
  <c r="G53" i="1"/>
  <c r="A53" i="1"/>
  <c r="G80" i="1"/>
  <c r="A80" i="1"/>
  <c r="X63" i="1"/>
  <c r="G63" i="1"/>
  <c r="A63" i="1"/>
  <c r="X45" i="1"/>
  <c r="G45" i="1"/>
  <c r="A45" i="1"/>
  <c r="G120" i="1"/>
  <c r="A120" i="1"/>
  <c r="G68" i="1"/>
  <c r="A68" i="1"/>
  <c r="G54" i="1"/>
  <c r="A54" i="1"/>
  <c r="X89" i="1"/>
  <c r="G89" i="1"/>
  <c r="A89" i="1"/>
  <c r="X11" i="1"/>
  <c r="G11" i="1"/>
  <c r="X27" i="1"/>
  <c r="G27" i="1"/>
  <c r="A27" i="1"/>
  <c r="X114" i="1"/>
  <c r="G114" i="1"/>
  <c r="A114" i="1"/>
  <c r="X16" i="1"/>
  <c r="G16" i="1"/>
  <c r="A16" i="1"/>
  <c r="X26" i="1"/>
  <c r="G26" i="1"/>
  <c r="A26" i="1"/>
  <c r="X103" i="1"/>
  <c r="G103" i="1"/>
  <c r="A103" i="1"/>
  <c r="X50" i="1"/>
  <c r="G50" i="1"/>
  <c r="A50" i="1"/>
  <c r="G22" i="1"/>
  <c r="A22" i="1"/>
  <c r="X116" i="1"/>
  <c r="G116" i="1"/>
  <c r="A116" i="1"/>
  <c r="X35" i="1"/>
  <c r="G35" i="1"/>
  <c r="A35" i="1"/>
  <c r="G24" i="1"/>
  <c r="A24" i="1"/>
  <c r="X59" i="1"/>
  <c r="G59" i="1"/>
  <c r="A59" i="1"/>
  <c r="X42" i="1"/>
  <c r="X38" i="1"/>
  <c r="G38" i="1"/>
  <c r="A38" i="1"/>
  <c r="X14" i="1"/>
  <c r="G14" i="1"/>
  <c r="A14" i="1"/>
  <c r="X10" i="1"/>
  <c r="G10" i="1"/>
  <c r="A10" i="1"/>
  <c r="X95" i="1"/>
  <c r="G95" i="1"/>
  <c r="A95" i="1"/>
  <c r="X30" i="1"/>
  <c r="G30" i="1"/>
  <c r="A30" i="1"/>
  <c r="X77" i="1"/>
  <c r="G77" i="1"/>
  <c r="A77" i="1"/>
  <c r="X101" i="1"/>
  <c r="G101" i="1"/>
  <c r="A101" i="1"/>
  <c r="X94" i="1"/>
  <c r="G94" i="1"/>
  <c r="A94" i="1"/>
  <c r="G40" i="1"/>
  <c r="A40" i="1"/>
  <c r="X46" i="1"/>
  <c r="G46" i="1"/>
  <c r="A46" i="1"/>
  <c r="X28" i="1"/>
  <c r="G28" i="1"/>
  <c r="A28" i="1"/>
  <c r="X86" i="1"/>
  <c r="G86" i="1"/>
  <c r="A86" i="1"/>
  <c r="X43" i="1"/>
  <c r="G43" i="1"/>
  <c r="A43" i="1"/>
  <c r="X74" i="1"/>
  <c r="G74" i="1"/>
  <c r="A74" i="1"/>
  <c r="X91" i="1"/>
  <c r="G91" i="1"/>
  <c r="A91" i="1"/>
  <c r="X92" i="1"/>
  <c r="G92" i="1"/>
  <c r="A92" i="1"/>
  <c r="X104" i="1"/>
  <c r="G104" i="1"/>
  <c r="A104" i="1"/>
  <c r="G108" i="1"/>
  <c r="A108" i="1"/>
  <c r="X97" i="1"/>
  <c r="G97" i="1"/>
  <c r="A97" i="1"/>
  <c r="X73" i="1"/>
  <c r="G73" i="1"/>
  <c r="A73" i="1"/>
  <c r="X71" i="1"/>
  <c r="G71" i="1"/>
  <c r="A71" i="1"/>
  <c r="X20" i="1"/>
  <c r="G20" i="1"/>
  <c r="A20" i="1"/>
  <c r="X18" i="1"/>
  <c r="G18" i="1"/>
  <c r="A18" i="1"/>
  <c r="X47" i="1"/>
  <c r="G47" i="1"/>
  <c r="A47" i="1"/>
  <c r="X96" i="1"/>
  <c r="G96" i="1"/>
  <c r="A96" i="1"/>
  <c r="X113" i="1"/>
  <c r="G113" i="1"/>
  <c r="X102" i="1"/>
  <c r="G102" i="1"/>
  <c r="A102" i="1"/>
  <c r="X99" i="1"/>
  <c r="G99" i="1"/>
  <c r="A99" i="1"/>
  <c r="X15" i="1"/>
  <c r="G15" i="1"/>
  <c r="A15" i="1"/>
  <c r="X110" i="1"/>
  <c r="G110" i="1"/>
  <c r="A110" i="1"/>
  <c r="X44" i="1"/>
  <c r="G44" i="1"/>
  <c r="A44" i="1"/>
  <c r="G107" i="1"/>
  <c r="A107" i="1"/>
  <c r="X49" i="1"/>
  <c r="G49" i="1"/>
  <c r="A49" i="1"/>
  <c r="X39" i="1"/>
  <c r="G39" i="1"/>
  <c r="A39" i="1"/>
  <c r="X85" i="1"/>
  <c r="G85" i="1"/>
  <c r="A85" i="1"/>
  <c r="G79" i="1"/>
  <c r="A79" i="1"/>
  <c r="X84" i="1"/>
  <c r="G84" i="1"/>
  <c r="A84" i="1"/>
  <c r="X82" i="1"/>
  <c r="G82" i="1"/>
  <c r="A82" i="1"/>
  <c r="G119" i="1"/>
  <c r="A119" i="1"/>
  <c r="X105" i="1"/>
  <c r="G105" i="1"/>
  <c r="A105" i="1"/>
  <c r="G55" i="1"/>
  <c r="A55" i="1"/>
  <c r="G23" i="1"/>
  <c r="A23" i="1"/>
  <c r="X64" i="1"/>
  <c r="G64" i="1"/>
  <c r="A64" i="1"/>
  <c r="X83" i="1"/>
  <c r="G83" i="1"/>
  <c r="A83" i="1"/>
  <c r="X34" i="1"/>
  <c r="G34" i="1"/>
  <c r="A34" i="1"/>
  <c r="X21" i="1"/>
  <c r="G21" i="1"/>
  <c r="A21" i="1"/>
  <c r="X100" i="1"/>
  <c r="G100" i="1"/>
  <c r="A100" i="1"/>
  <c r="X65" i="1"/>
  <c r="G65" i="1"/>
  <c r="A65" i="1"/>
  <c r="G106" i="1"/>
  <c r="A106" i="1"/>
  <c r="X76" i="1"/>
  <c r="G76" i="1"/>
  <c r="A76" i="1"/>
  <c r="X58" i="1"/>
  <c r="G58" i="1"/>
  <c r="A58" i="1"/>
  <c r="G67" i="1"/>
  <c r="A67" i="1"/>
</calcChain>
</file>

<file path=xl/sharedStrings.xml><?xml version="1.0" encoding="utf-8"?>
<sst xmlns="http://schemas.openxmlformats.org/spreadsheetml/2006/main" count="940" uniqueCount="298">
  <si>
    <t>Waltham Chase Trials MCC</t>
  </si>
  <si>
    <t>The George Greenland Trophy Trial</t>
  </si>
  <si>
    <t>(Round 3 of the 2022 ACU Southern Centre Championship)</t>
  </si>
  <si>
    <t>Manor Farm, Langrish on Sunday 8th May 2022</t>
  </si>
  <si>
    <t>Clerk Of Course: Steve Greenen (ACU180341)</t>
  </si>
  <si>
    <t>Secretary of Meeting: Mike Wiseman (ACU53299)</t>
  </si>
  <si>
    <t>Number</t>
  </si>
  <si>
    <t>Name</t>
  </si>
  <si>
    <t>Class</t>
  </si>
  <si>
    <t>Machine</t>
  </si>
  <si>
    <t>Route</t>
  </si>
  <si>
    <t>ACU No.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</si>
  <si>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</si>
  <si>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</si>
  <si>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</si>
  <si>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</si>
  <si>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</si>
  <si>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</si>
  <si>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</si>
  <si>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</si>
  <si>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</si>
  <si>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</si>
  <si>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</si>
  <si>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</si>
  <si>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</si>
  <si>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</si>
  <si>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</si>
  <si>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</si>
  <si>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</si>
  <si>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Position</t>
  </si>
  <si>
    <t>Points</t>
  </si>
  <si>
    <t>George</t>
  </si>
  <si>
    <t>Greenland</t>
  </si>
  <si>
    <t>Pre-65 D</t>
  </si>
  <si>
    <t>BSA Bantam 175</t>
  </si>
  <si>
    <t>Neil</t>
  </si>
  <si>
    <t>Clarke</t>
  </si>
  <si>
    <t>Pre-65 C</t>
  </si>
  <si>
    <t>DOT 250</t>
  </si>
  <si>
    <t>White</t>
  </si>
  <si>
    <t>Miles</t>
  </si>
  <si>
    <t>Garland</t>
  </si>
  <si>
    <t>Sportsman</t>
  </si>
  <si>
    <t>Beta Evo 250</t>
  </si>
  <si>
    <t>Colin</t>
  </si>
  <si>
    <t>Mew</t>
  </si>
  <si>
    <t>Veteran</t>
  </si>
  <si>
    <t>TRS 250</t>
  </si>
  <si>
    <t>Ronnie</t>
  </si>
  <si>
    <t>Allen</t>
  </si>
  <si>
    <t>Novice</t>
  </si>
  <si>
    <t>Montesa 315R</t>
  </si>
  <si>
    <t>Karen</t>
  </si>
  <si>
    <t>Chris</t>
  </si>
  <si>
    <t>Guppy</t>
  </si>
  <si>
    <t>Thames MCC</t>
  </si>
  <si>
    <t>John</t>
  </si>
  <si>
    <t>Coombes</t>
  </si>
  <si>
    <t>Clubman</t>
  </si>
  <si>
    <t>TRS ONE 300</t>
  </si>
  <si>
    <t xml:space="preserve">Isle of Wight MCC Ltd </t>
  </si>
  <si>
    <t>Thomas</t>
  </si>
  <si>
    <t>Moss</t>
  </si>
  <si>
    <t>Expert</t>
  </si>
  <si>
    <t>Honda MRT 300</t>
  </si>
  <si>
    <t>Eastbourne &amp; District MCC</t>
  </si>
  <si>
    <t>Geoff</t>
  </si>
  <si>
    <t>Muston</t>
  </si>
  <si>
    <t>Twin Shock C</t>
  </si>
  <si>
    <t>Honda TL 125</t>
  </si>
  <si>
    <t>Andy</t>
  </si>
  <si>
    <t>Withers</t>
  </si>
  <si>
    <t>BSA B40</t>
  </si>
  <si>
    <t>Ringwood MC &amp; LCC</t>
  </si>
  <si>
    <t>Paul</t>
  </si>
  <si>
    <t>Vertigo DL 250</t>
  </si>
  <si>
    <t>Mark</t>
  </si>
  <si>
    <t>Chivers</t>
  </si>
  <si>
    <t>Beta Evo 240</t>
  </si>
  <si>
    <t>Clive</t>
  </si>
  <si>
    <t>Wilson</t>
  </si>
  <si>
    <t>Montesa 315R 250</t>
  </si>
  <si>
    <t>Rory</t>
  </si>
  <si>
    <t>Bennett</t>
  </si>
  <si>
    <t>Youth D</t>
  </si>
  <si>
    <t>Beta Evo 80</t>
  </si>
  <si>
    <t>Tony</t>
  </si>
  <si>
    <t>Billingham</t>
  </si>
  <si>
    <t>Yamaha Majesty 175</t>
  </si>
  <si>
    <t>Brown</t>
  </si>
  <si>
    <t>Aprilia 320</t>
  </si>
  <si>
    <t>Bridport &amp; Weymouth MCC</t>
  </si>
  <si>
    <t>Richard</t>
  </si>
  <si>
    <t>Gamblin</t>
  </si>
  <si>
    <t>Montesa 301 RR</t>
  </si>
  <si>
    <t>Waterside MCC</t>
  </si>
  <si>
    <t>Twin Shock D</t>
  </si>
  <si>
    <t>Mik</t>
  </si>
  <si>
    <t>Machinek</t>
  </si>
  <si>
    <t>Honda TLR 200</t>
  </si>
  <si>
    <t>Rob</t>
  </si>
  <si>
    <t>Hoyles</t>
  </si>
  <si>
    <t>Vertigo Vertical R3 250</t>
  </si>
  <si>
    <t>Graham</t>
  </si>
  <si>
    <t>Butt</t>
  </si>
  <si>
    <t>TRS RR 250</t>
  </si>
  <si>
    <t>Trevor</t>
  </si>
  <si>
    <t>Gatrell</t>
  </si>
  <si>
    <t>Sherco 300</t>
  </si>
  <si>
    <t>Roger</t>
  </si>
  <si>
    <t>Armstrong</t>
  </si>
  <si>
    <t>Gas Gas TXT 300 Racing</t>
  </si>
  <si>
    <t>Taylor</t>
  </si>
  <si>
    <t>Burnell</t>
  </si>
  <si>
    <t>Youth B</t>
  </si>
  <si>
    <t>Gas Gas 125</t>
  </si>
  <si>
    <t>Reigate and Redhill North Downs MCC</t>
  </si>
  <si>
    <t>Hebditch</t>
  </si>
  <si>
    <t>Montesa 4RT</t>
  </si>
  <si>
    <t>Shamus</t>
  </si>
  <si>
    <t>Doohan</t>
  </si>
  <si>
    <t>Dave</t>
  </si>
  <si>
    <t>Henvest</t>
  </si>
  <si>
    <t>David</t>
  </si>
  <si>
    <t>James</t>
  </si>
  <si>
    <t>Youth C</t>
  </si>
  <si>
    <t>XHG Tiger MCC Ltd</t>
  </si>
  <si>
    <t>Adam</t>
  </si>
  <si>
    <t>Hardy</t>
  </si>
  <si>
    <t>Montesa 4RT 300</t>
  </si>
  <si>
    <t>Lloyd</t>
  </si>
  <si>
    <t>Honda 4RT</t>
  </si>
  <si>
    <t>Mike</t>
  </si>
  <si>
    <t>Hinton</t>
  </si>
  <si>
    <t>Vertigo 250</t>
  </si>
  <si>
    <t>Peter</t>
  </si>
  <si>
    <t>Gas Gas 300</t>
  </si>
  <si>
    <t>Owen</t>
  </si>
  <si>
    <t>Gas Gas 370</t>
  </si>
  <si>
    <t>Scott</t>
  </si>
  <si>
    <t>Gas Gas 250</t>
  </si>
  <si>
    <t>Tim</t>
  </si>
  <si>
    <t>Gas Gas TXT Pro 250</t>
  </si>
  <si>
    <t>Penfold</t>
  </si>
  <si>
    <t>Gas Gas TXT 250</t>
  </si>
  <si>
    <t>Martin</t>
  </si>
  <si>
    <t>TRS ONE R 250</t>
  </si>
  <si>
    <t>Steve</t>
  </si>
  <si>
    <t>Wagstaff</t>
  </si>
  <si>
    <t>Woodthorpe</t>
  </si>
  <si>
    <t>Bultaco 250</t>
  </si>
  <si>
    <t>Wayne</t>
  </si>
  <si>
    <t>Geary</t>
  </si>
  <si>
    <t>Scorpa SC 300</t>
  </si>
  <si>
    <t>Normandy MCC</t>
  </si>
  <si>
    <t>Kevin</t>
  </si>
  <si>
    <t>Goater</t>
  </si>
  <si>
    <t>Bob</t>
  </si>
  <si>
    <t>Hampton</t>
  </si>
  <si>
    <t>Fantic 200</t>
  </si>
  <si>
    <t>Carter</t>
  </si>
  <si>
    <t>Clubman Expert</t>
  </si>
  <si>
    <t>50/50</t>
  </si>
  <si>
    <t>Nick</t>
  </si>
  <si>
    <t>Eades</t>
  </si>
  <si>
    <t>Jordan</t>
  </si>
  <si>
    <t>Peach</t>
  </si>
  <si>
    <t>Reynard</t>
  </si>
  <si>
    <t>Norris</t>
  </si>
  <si>
    <t>Aldermaston Nomads MCC</t>
  </si>
  <si>
    <t>Mick</t>
  </si>
  <si>
    <t>Treagus</t>
  </si>
  <si>
    <t>Gas Gas TXT 300</t>
  </si>
  <si>
    <t>Aaron</t>
  </si>
  <si>
    <t>Sherco ST 300</t>
  </si>
  <si>
    <t>Gary</t>
  </si>
  <si>
    <t>Tarrant</t>
  </si>
  <si>
    <t>Somerton</t>
  </si>
  <si>
    <t>Gas Gas 125 Racing</t>
  </si>
  <si>
    <t>Elms</t>
  </si>
  <si>
    <t>Beta</t>
  </si>
  <si>
    <t>Medcraff</t>
  </si>
  <si>
    <t>Tommy</t>
  </si>
  <si>
    <t>Copp</t>
  </si>
  <si>
    <t>Francis</t>
  </si>
  <si>
    <t>TRS 300</t>
  </si>
  <si>
    <t>Clifford</t>
  </si>
  <si>
    <t>Pitman</t>
  </si>
  <si>
    <t>Sherco 250</t>
  </si>
  <si>
    <t>Matthew</t>
  </si>
  <si>
    <t>Caulkett</t>
  </si>
  <si>
    <t>Leevan</t>
  </si>
  <si>
    <t>Laishley</t>
  </si>
  <si>
    <t>Beta Evo 300</t>
  </si>
  <si>
    <t>Brian</t>
  </si>
  <si>
    <t>TRS RR 300</t>
  </si>
  <si>
    <t>Richie</t>
  </si>
  <si>
    <t>Keet</t>
  </si>
  <si>
    <t>Surrey Schoolboy Trials Club</t>
  </si>
  <si>
    <t>Robert</t>
  </si>
  <si>
    <t>Bishop</t>
  </si>
  <si>
    <t>TRS ONE 250</t>
  </si>
  <si>
    <t>Ian</t>
  </si>
  <si>
    <t>Newcombe</t>
  </si>
  <si>
    <t>Neal</t>
  </si>
  <si>
    <t>Hubbard</t>
  </si>
  <si>
    <t>Gates</t>
  </si>
  <si>
    <t>TRRS Gold 250</t>
  </si>
  <si>
    <t>Kilbey</t>
  </si>
  <si>
    <t>Andrew</t>
  </si>
  <si>
    <t>Wright</t>
  </si>
  <si>
    <t>Calvin</t>
  </si>
  <si>
    <t>Ossa Mar 250</t>
  </si>
  <si>
    <t>Phil</t>
  </si>
  <si>
    <t>Whitlock</t>
  </si>
  <si>
    <t>Dean</t>
  </si>
  <si>
    <t>Beta 250</t>
  </si>
  <si>
    <t>Vic</t>
  </si>
  <si>
    <t>Allan</t>
  </si>
  <si>
    <t>MV Agusta 190</t>
  </si>
  <si>
    <t>Peterborough Trials Club</t>
  </si>
  <si>
    <t>Harrison</t>
  </si>
  <si>
    <t>Kent</t>
  </si>
  <si>
    <t>Beta 80 Senior</t>
  </si>
  <si>
    <t>Gennings</t>
  </si>
  <si>
    <t>Beta Evo 290</t>
  </si>
  <si>
    <t>Howes</t>
  </si>
  <si>
    <t>BSA BB32A</t>
  </si>
  <si>
    <t>North Berks. MCC</t>
  </si>
  <si>
    <t>Fox</t>
  </si>
  <si>
    <t>Sherco ST 250 Factory</t>
  </si>
  <si>
    <t>Sam</t>
  </si>
  <si>
    <t>Webb</t>
  </si>
  <si>
    <t>Sherco ST 250</t>
  </si>
  <si>
    <t>King</t>
  </si>
  <si>
    <t>Westbrook</t>
  </si>
  <si>
    <t>Glenn H G</t>
  </si>
  <si>
    <t>Connor</t>
  </si>
  <si>
    <t>Sherco 125</t>
  </si>
  <si>
    <t>Glenn</t>
  </si>
  <si>
    <t>Montesa Honda 250</t>
  </si>
  <si>
    <t>Tait</t>
  </si>
  <si>
    <t>Montesa 4RT 260</t>
  </si>
  <si>
    <t>Christopher</t>
  </si>
  <si>
    <t>Honda Montesa 260</t>
  </si>
  <si>
    <t>Jim</t>
  </si>
  <si>
    <t>Gray</t>
  </si>
  <si>
    <t>Ariel HT5</t>
  </si>
  <si>
    <t>Ollie</t>
  </si>
  <si>
    <t>Barr</t>
  </si>
  <si>
    <t>TRS One RR 125</t>
  </si>
  <si>
    <t>Carl</t>
  </si>
  <si>
    <t>TRS One R250</t>
  </si>
  <si>
    <t>Skerratt</t>
  </si>
  <si>
    <t>Beta 300</t>
  </si>
  <si>
    <t>Pattison</t>
  </si>
  <si>
    <t>Scorpa 143</t>
  </si>
  <si>
    <t>Hayward</t>
  </si>
  <si>
    <t>Triumph 3TA</t>
  </si>
  <si>
    <t>South Reading MCC</t>
  </si>
  <si>
    <t>Jack</t>
  </si>
  <si>
    <t>Stiles</t>
  </si>
  <si>
    <t>Gas Gas Racing 300</t>
  </si>
  <si>
    <t>Hosford</t>
  </si>
  <si>
    <t>Symes</t>
  </si>
  <si>
    <t>Beta 80</t>
  </si>
  <si>
    <t>Michael</t>
  </si>
  <si>
    <t>Hyden</t>
  </si>
  <si>
    <t>Hookwood Trials Club</t>
  </si>
  <si>
    <t>Hickman</t>
  </si>
  <si>
    <t>Alton &amp; District MCC</t>
  </si>
  <si>
    <t xml:space="preserve">Thomas </t>
  </si>
  <si>
    <t>Richards</t>
  </si>
  <si>
    <t xml:space="preserve">Malcolm </t>
  </si>
  <si>
    <t>Peberdy</t>
  </si>
  <si>
    <t>Page</t>
  </si>
  <si>
    <t>BSA Bantam 185</t>
  </si>
  <si>
    <t xml:space="preserve">Chris </t>
  </si>
  <si>
    <t>Wiseman</t>
  </si>
  <si>
    <t>Gas Gas 300 Racing</t>
  </si>
  <si>
    <t xml:space="preserve">Mick </t>
  </si>
  <si>
    <t>Marshall</t>
  </si>
  <si>
    <t>Results</t>
  </si>
  <si>
    <t>DNF</t>
  </si>
  <si>
    <t>Tom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</si>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</sst>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A253C-1160-4FB4-B157-9B9AE2BC939F}">
  <dimension ref="A1:Z120"/>
  <sheetViews>
    <sheetView tabSelected="1" topLeftCell="A63" workbookViewId="0">
      <selection activeCell="F73" sqref="F73"/>
    </sheetView>
  </sheetViews>
  <sheetFormatPr defaultRowHeight="15" x14ac:dyDescent="0.25"/>
  <cols>
    <col min="1" max="1" width="9.7109375" style="1" customWidth="1"/>
    <col min="2" max="2" width="14" customWidth="1"/>
    <col min="3" max="3" width="16.42578125" customWidth="1"/>
    <col min="4" max="4" width="18" customWidth="1"/>
    <col min="5" max="5" width="25.42578125" customWidth="1"/>
    <col min="6" max="6" width="9" style="1" customWidth="1"/>
    <col min="7" max="7" width="14.42578125" style="1" customWidth="1"/>
    <col min="8" max="8" width="38" customWidth="1"/>
    <col min="9" max="23" width="6.28515625" style="1" customWidth="1"/>
    <col min="24" max="24" width="6.28515625" style="2" customWidth="1"/>
    <col min="25" max="26" width="9.140625" style="1"/>
  </cols>
  <sheetData>
    <row r="1" spans="1:26" ht="18.75" x14ac:dyDescent="0.3">
      <c r="A1" s="54" t="s">
        <v>282</v>
      </c>
      <c r="B1" s="54"/>
      <c r="C1" s="54"/>
      <c r="D1" s="54"/>
      <c r="E1" s="54"/>
      <c r="F1" s="54"/>
      <c r="G1" s="54"/>
      <c r="H1" s="54"/>
    </row>
    <row r="2" spans="1:26" ht="21" x14ac:dyDescent="0.35">
      <c r="A2" s="56" t="s">
        <v>0</v>
      </c>
      <c r="B2" s="56"/>
      <c r="C2" s="56"/>
      <c r="D2" s="56"/>
      <c r="E2" s="56"/>
      <c r="F2" s="56"/>
      <c r="G2" s="56"/>
      <c r="H2" s="56"/>
    </row>
    <row r="3" spans="1:26" ht="18.75" x14ac:dyDescent="0.3">
      <c r="A3" s="54" t="s">
        <v>1</v>
      </c>
      <c r="B3" s="54"/>
      <c r="C3" s="54"/>
      <c r="D3" s="54"/>
      <c r="E3" s="54"/>
      <c r="F3" s="54"/>
      <c r="G3" s="54"/>
      <c r="H3" s="54"/>
    </row>
    <row r="4" spans="1:26" ht="18.75" x14ac:dyDescent="0.3">
      <c r="A4" s="54" t="s">
        <v>2</v>
      </c>
      <c r="B4" s="54"/>
      <c r="C4" s="54"/>
      <c r="D4" s="54"/>
      <c r="E4" s="54"/>
      <c r="F4" s="54"/>
      <c r="G4" s="54"/>
      <c r="H4" s="54"/>
    </row>
    <row r="5" spans="1:26" ht="18.75" x14ac:dyDescent="0.3">
      <c r="A5" s="54" t="s">
        <v>3</v>
      </c>
      <c r="B5" s="54"/>
      <c r="C5" s="54"/>
      <c r="D5" s="54"/>
      <c r="E5" s="54"/>
      <c r="F5" s="54"/>
      <c r="G5" s="54"/>
      <c r="H5" s="54"/>
    </row>
    <row r="6" spans="1:26" ht="18.75" x14ac:dyDescent="0.3">
      <c r="A6" s="54" t="s">
        <v>4</v>
      </c>
      <c r="B6" s="54"/>
      <c r="C6" s="54"/>
      <c r="D6" s="54"/>
      <c r="E6" s="54"/>
      <c r="F6" s="54"/>
      <c r="G6" s="54"/>
      <c r="H6" s="54"/>
    </row>
    <row r="7" spans="1:26" ht="18.75" x14ac:dyDescent="0.3">
      <c r="A7" s="54" t="s">
        <v>5</v>
      </c>
      <c r="B7" s="54"/>
      <c r="C7" s="54"/>
      <c r="D7" s="54"/>
      <c r="E7" s="54"/>
      <c r="F7" s="54"/>
      <c r="G7" s="54"/>
      <c r="H7" s="54"/>
    </row>
    <row r="9" spans="1:26" s="6" customFormat="1" ht="20.100000000000001" customHeight="1" x14ac:dyDescent="0.25">
      <c r="A9" s="3" t="s">
        <v>6</v>
      </c>
      <c r="B9" s="55" t="s">
        <v>7</v>
      </c>
      <c r="C9" s="55"/>
      <c r="D9" s="3" t="s">
        <v>8</v>
      </c>
      <c r="E9" s="3" t="s">
        <v>9</v>
      </c>
      <c r="F9" s="3" t="s">
        <v>10</v>
      </c>
      <c r="G9" s="3" t="s">
        <v>11</v>
      </c>
      <c r="H9" s="4" t="s">
        <v>12</v>
      </c>
      <c r="I9" s="5" t="s">
        <v>13</v>
      </c>
      <c r="J9" s="5" t="s">
        <v>14</v>
      </c>
      <c r="K9" s="5" t="s">
        <v>15</v>
      </c>
      <c r="L9" s="5" t="s">
        <v>16</v>
      </c>
      <c r="M9" s="5" t="s">
        <v>17</v>
      </c>
      <c r="N9" s="5" t="s">
        <v>18</v>
      </c>
      <c r="O9" s="5" t="s">
        <v>19</v>
      </c>
      <c r="P9" s="5" t="s">
        <v>20</v>
      </c>
      <c r="Q9" s="5" t="s">
        <v>21</v>
      </c>
      <c r="R9" s="5" t="s">
        <v>22</v>
      </c>
      <c r="S9" s="5" t="s">
        <v>23</v>
      </c>
      <c r="T9" s="5" t="s">
        <v>24</v>
      </c>
      <c r="U9" s="5" t="s">
        <v>25</v>
      </c>
      <c r="V9" s="5" t="s">
        <v>26</v>
      </c>
      <c r="W9" s="5" t="s">
        <v>27</v>
      </c>
      <c r="X9" s="5" t="s">
        <v>28</v>
      </c>
      <c r="Y9" s="5" t="s">
        <v>29</v>
      </c>
      <c r="Z9" s="5" t="s">
        <v>30</v>
      </c>
    </row>
    <row r="10" spans="1:26" s="12" customFormat="1" ht="20.100000000000001" customHeight="1" x14ac:dyDescent="0.25">
      <c r="A10" s="7" t="str">
        <f>("225")</f>
        <v>225</v>
      </c>
      <c r="B10" s="8" t="s">
        <v>76</v>
      </c>
      <c r="C10" s="8" t="s">
        <v>179</v>
      </c>
      <c r="D10" s="9" t="s">
        <v>58</v>
      </c>
      <c r="E10" s="8" t="s">
        <v>180</v>
      </c>
      <c r="F10" s="40"/>
      <c r="G10" s="10" t="str">
        <f>("54396")</f>
        <v>54396</v>
      </c>
      <c r="H10" s="9" t="s">
        <v>0</v>
      </c>
      <c r="I10" s="11">
        <v>1</v>
      </c>
      <c r="J10" s="11">
        <v>0</v>
      </c>
      <c r="K10" s="11">
        <v>2</v>
      </c>
      <c r="L10" s="11">
        <v>0</v>
      </c>
      <c r="M10" s="11">
        <v>1</v>
      </c>
      <c r="N10" s="11">
        <v>0</v>
      </c>
      <c r="O10" s="11">
        <v>5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9</v>
      </c>
      <c r="V10" s="11">
        <v>13</v>
      </c>
      <c r="W10" s="11">
        <v>2</v>
      </c>
      <c r="X10" s="5">
        <f t="shared" ref="X10:X21" si="0">SUM(I10:W10)</f>
        <v>33</v>
      </c>
      <c r="Y10" s="11" t="s">
        <v>285</v>
      </c>
      <c r="Z10" s="11">
        <v>20</v>
      </c>
    </row>
    <row r="11" spans="1:26" s="12" customFormat="1" ht="20.100000000000001" customHeight="1" x14ac:dyDescent="0.25">
      <c r="A11" s="49">
        <v>382</v>
      </c>
      <c r="B11" s="50" t="s">
        <v>297</v>
      </c>
      <c r="C11" s="50" t="s">
        <v>210</v>
      </c>
      <c r="D11" s="51" t="s">
        <v>58</v>
      </c>
      <c r="E11" s="50" t="s">
        <v>193</v>
      </c>
      <c r="F11" s="40"/>
      <c r="G11" s="52" t="str">
        <f>("130181")</f>
        <v>130181</v>
      </c>
      <c r="H11" s="51" t="s">
        <v>60</v>
      </c>
      <c r="I11" s="47">
        <v>3</v>
      </c>
      <c r="J11" s="47">
        <v>0</v>
      </c>
      <c r="K11" s="47">
        <v>1</v>
      </c>
      <c r="L11" s="47">
        <v>2</v>
      </c>
      <c r="M11" s="47">
        <v>1</v>
      </c>
      <c r="N11" s="47">
        <v>0</v>
      </c>
      <c r="O11" s="47">
        <v>3</v>
      </c>
      <c r="P11" s="47">
        <v>0</v>
      </c>
      <c r="Q11" s="47">
        <v>5</v>
      </c>
      <c r="R11" s="47">
        <v>0</v>
      </c>
      <c r="S11" s="47">
        <v>0</v>
      </c>
      <c r="T11" s="47">
        <v>0</v>
      </c>
      <c r="U11" s="47">
        <v>5</v>
      </c>
      <c r="V11" s="47">
        <v>13</v>
      </c>
      <c r="W11" s="47">
        <v>1</v>
      </c>
      <c r="X11" s="48">
        <f t="shared" si="0"/>
        <v>34</v>
      </c>
      <c r="Y11" s="47" t="s">
        <v>286</v>
      </c>
      <c r="Z11" s="47">
        <v>17</v>
      </c>
    </row>
    <row r="12" spans="1:26" s="53" customFormat="1" ht="20.100000000000001" customHeight="1" x14ac:dyDescent="0.25">
      <c r="A12" s="35">
        <v>812</v>
      </c>
      <c r="B12" s="37" t="s">
        <v>280</v>
      </c>
      <c r="C12" s="37" t="s">
        <v>281</v>
      </c>
      <c r="D12" s="39" t="s">
        <v>58</v>
      </c>
      <c r="E12" s="37" t="s">
        <v>140</v>
      </c>
      <c r="F12" s="19"/>
      <c r="G12" s="43">
        <v>4825</v>
      </c>
      <c r="H12" s="39" t="s">
        <v>154</v>
      </c>
      <c r="I12" s="11">
        <v>3</v>
      </c>
      <c r="J12" s="11">
        <v>0</v>
      </c>
      <c r="K12" s="11">
        <v>2</v>
      </c>
      <c r="L12" s="11">
        <v>0</v>
      </c>
      <c r="M12" s="11">
        <v>0</v>
      </c>
      <c r="N12" s="11">
        <v>0</v>
      </c>
      <c r="O12" s="11">
        <v>2</v>
      </c>
      <c r="P12" s="11">
        <v>0</v>
      </c>
      <c r="Q12" s="11">
        <v>0</v>
      </c>
      <c r="R12" s="11">
        <v>0</v>
      </c>
      <c r="S12" s="11">
        <v>0</v>
      </c>
      <c r="T12" s="11">
        <v>2</v>
      </c>
      <c r="U12" s="11">
        <v>15</v>
      </c>
      <c r="V12" s="11">
        <v>11</v>
      </c>
      <c r="W12" s="11">
        <v>1</v>
      </c>
      <c r="X12" s="5">
        <f t="shared" si="0"/>
        <v>36</v>
      </c>
      <c r="Y12" s="11" t="s">
        <v>287</v>
      </c>
      <c r="Z12" s="11">
        <v>15</v>
      </c>
    </row>
    <row r="13" spans="1:26" s="12" customFormat="1" ht="20.100000000000001" customHeight="1" x14ac:dyDescent="0.25">
      <c r="A13" s="13" t="str">
        <f>("436")</f>
        <v>436</v>
      </c>
      <c r="B13" s="14" t="s">
        <v>103</v>
      </c>
      <c r="C13" s="14" t="s">
        <v>234</v>
      </c>
      <c r="D13" s="15" t="s">
        <v>58</v>
      </c>
      <c r="E13" s="14" t="s">
        <v>193</v>
      </c>
      <c r="F13" s="19"/>
      <c r="G13" s="17" t="str">
        <f>("8130")</f>
        <v>8130</v>
      </c>
      <c r="H13" s="15" t="s">
        <v>73</v>
      </c>
      <c r="I13" s="11">
        <v>7</v>
      </c>
      <c r="J13" s="11">
        <v>0</v>
      </c>
      <c r="K13" s="11">
        <v>7</v>
      </c>
      <c r="L13" s="11">
        <v>2</v>
      </c>
      <c r="M13" s="11">
        <v>0</v>
      </c>
      <c r="N13" s="11">
        <v>0</v>
      </c>
      <c r="O13" s="11"/>
      <c r="P13" s="11">
        <v>5</v>
      </c>
      <c r="Q13" s="11">
        <v>0</v>
      </c>
      <c r="R13" s="11">
        <v>0</v>
      </c>
      <c r="S13" s="11">
        <v>0</v>
      </c>
      <c r="T13" s="11">
        <v>2</v>
      </c>
      <c r="U13" s="11">
        <v>6</v>
      </c>
      <c r="V13" s="11">
        <v>15</v>
      </c>
      <c r="W13" s="11">
        <v>3</v>
      </c>
      <c r="X13" s="5">
        <f t="shared" si="0"/>
        <v>47</v>
      </c>
      <c r="Y13" s="47" t="s">
        <v>288</v>
      </c>
      <c r="Z13" s="11">
        <v>13</v>
      </c>
    </row>
    <row r="14" spans="1:26" s="12" customFormat="1" ht="20.100000000000001" customHeight="1" x14ac:dyDescent="0.25">
      <c r="A14" s="13" t="str">
        <f>("232")</f>
        <v>232</v>
      </c>
      <c r="B14" s="14" t="s">
        <v>145</v>
      </c>
      <c r="C14" s="14" t="s">
        <v>181</v>
      </c>
      <c r="D14" s="15" t="s">
        <v>58</v>
      </c>
      <c r="E14" s="14" t="s">
        <v>43</v>
      </c>
      <c r="F14" s="19"/>
      <c r="G14" s="17" t="str">
        <f>("156826")</f>
        <v>156826</v>
      </c>
      <c r="H14" s="15" t="s">
        <v>73</v>
      </c>
      <c r="I14" s="11">
        <v>7</v>
      </c>
      <c r="J14" s="11">
        <v>6</v>
      </c>
      <c r="K14" s="11">
        <v>3</v>
      </c>
      <c r="L14" s="11">
        <v>0</v>
      </c>
      <c r="M14" s="11">
        <v>4</v>
      </c>
      <c r="N14" s="11">
        <v>0</v>
      </c>
      <c r="O14" s="11">
        <v>5</v>
      </c>
      <c r="P14" s="11">
        <v>0</v>
      </c>
      <c r="Q14" s="11">
        <v>4</v>
      </c>
      <c r="R14" s="11">
        <v>5</v>
      </c>
      <c r="S14" s="11">
        <v>0</v>
      </c>
      <c r="T14" s="11">
        <v>4</v>
      </c>
      <c r="U14" s="11">
        <v>15</v>
      </c>
      <c r="V14" s="11">
        <v>15</v>
      </c>
      <c r="W14" s="11">
        <v>2</v>
      </c>
      <c r="X14" s="5">
        <f t="shared" si="0"/>
        <v>70</v>
      </c>
      <c r="Y14" s="11" t="s">
        <v>289</v>
      </c>
      <c r="Z14" s="11">
        <v>11</v>
      </c>
    </row>
    <row r="15" spans="1:26" s="12" customFormat="1" ht="20.100000000000001" customHeight="1" x14ac:dyDescent="0.25">
      <c r="A15" s="13" t="str">
        <f>("79")</f>
        <v>79</v>
      </c>
      <c r="B15" s="14" t="s">
        <v>76</v>
      </c>
      <c r="C15" s="14" t="s">
        <v>117</v>
      </c>
      <c r="D15" s="15" t="s">
        <v>58</v>
      </c>
      <c r="E15" s="14" t="s">
        <v>118</v>
      </c>
      <c r="F15" s="19"/>
      <c r="G15" s="17" t="str">
        <f>("52706")</f>
        <v>52706</v>
      </c>
      <c r="H15" s="15" t="s">
        <v>73</v>
      </c>
      <c r="I15" s="11">
        <v>1</v>
      </c>
      <c r="J15" s="11">
        <v>0</v>
      </c>
      <c r="K15" s="11">
        <v>6</v>
      </c>
      <c r="L15" s="11">
        <v>0</v>
      </c>
      <c r="M15" s="11">
        <v>5</v>
      </c>
      <c r="N15" s="11">
        <v>5</v>
      </c>
      <c r="O15" s="11">
        <v>6</v>
      </c>
      <c r="P15" s="11">
        <v>0</v>
      </c>
      <c r="Q15" s="11">
        <v>6</v>
      </c>
      <c r="R15" s="11">
        <v>12</v>
      </c>
      <c r="S15" s="11">
        <v>0</v>
      </c>
      <c r="T15" s="11">
        <v>7</v>
      </c>
      <c r="U15" s="11">
        <v>7</v>
      </c>
      <c r="V15" s="11">
        <v>15</v>
      </c>
      <c r="W15" s="11">
        <v>3</v>
      </c>
      <c r="X15" s="5">
        <f t="shared" si="0"/>
        <v>73</v>
      </c>
      <c r="Y15" s="47" t="s">
        <v>290</v>
      </c>
      <c r="Z15" s="11">
        <v>10</v>
      </c>
    </row>
    <row r="16" spans="1:26" s="12" customFormat="1" ht="20.100000000000001" customHeight="1" x14ac:dyDescent="0.25">
      <c r="A16" s="13" t="str">
        <f>("361")</f>
        <v>361</v>
      </c>
      <c r="B16" s="14" t="s">
        <v>70</v>
      </c>
      <c r="C16" s="14" t="s">
        <v>206</v>
      </c>
      <c r="D16" s="15" t="s">
        <v>58</v>
      </c>
      <c r="E16" s="14" t="s">
        <v>207</v>
      </c>
      <c r="F16" s="19"/>
      <c r="G16" s="17" t="str">
        <f>("54406")</f>
        <v>54406</v>
      </c>
      <c r="H16" s="15" t="s">
        <v>73</v>
      </c>
      <c r="I16" s="11">
        <v>3</v>
      </c>
      <c r="J16" s="11">
        <v>0</v>
      </c>
      <c r="K16" s="11">
        <v>4</v>
      </c>
      <c r="L16" s="11">
        <v>0</v>
      </c>
      <c r="M16" s="11">
        <v>2</v>
      </c>
      <c r="N16" s="11">
        <v>5</v>
      </c>
      <c r="O16" s="11">
        <v>13</v>
      </c>
      <c r="P16" s="11">
        <v>1</v>
      </c>
      <c r="Q16" s="11">
        <v>5</v>
      </c>
      <c r="R16" s="11">
        <v>9</v>
      </c>
      <c r="S16" s="11">
        <v>0</v>
      </c>
      <c r="T16" s="11">
        <v>3</v>
      </c>
      <c r="U16" s="11">
        <v>13</v>
      </c>
      <c r="V16" s="11">
        <v>15</v>
      </c>
      <c r="W16" s="11">
        <v>1</v>
      </c>
      <c r="X16" s="5">
        <f t="shared" si="0"/>
        <v>74</v>
      </c>
      <c r="Y16" s="11" t="s">
        <v>291</v>
      </c>
      <c r="Z16" s="11">
        <v>9</v>
      </c>
    </row>
    <row r="17" spans="1:26" s="12" customFormat="1" ht="20.100000000000001" customHeight="1" x14ac:dyDescent="0.25">
      <c r="A17" s="13" t="str">
        <f>("458")</f>
        <v>458</v>
      </c>
      <c r="B17" s="14" t="s">
        <v>236</v>
      </c>
      <c r="C17" s="14" t="s">
        <v>197</v>
      </c>
      <c r="D17" s="15" t="s">
        <v>58</v>
      </c>
      <c r="E17" s="14" t="s">
        <v>136</v>
      </c>
      <c r="F17" s="19"/>
      <c r="G17" s="17" t="str">
        <f>("207455")</f>
        <v>207455</v>
      </c>
      <c r="H17" s="15" t="s">
        <v>198</v>
      </c>
      <c r="I17" s="11">
        <v>7</v>
      </c>
      <c r="J17" s="11">
        <v>5</v>
      </c>
      <c r="K17" s="11">
        <v>8</v>
      </c>
      <c r="L17" s="11">
        <v>1</v>
      </c>
      <c r="M17" s="11">
        <v>2</v>
      </c>
      <c r="N17" s="11">
        <v>0</v>
      </c>
      <c r="O17" s="11">
        <v>8</v>
      </c>
      <c r="P17" s="11">
        <v>0</v>
      </c>
      <c r="Q17" s="11">
        <v>2</v>
      </c>
      <c r="R17" s="11">
        <v>3</v>
      </c>
      <c r="S17" s="11">
        <v>0</v>
      </c>
      <c r="T17" s="11">
        <v>8</v>
      </c>
      <c r="U17" s="11">
        <v>15</v>
      </c>
      <c r="V17" s="11">
        <v>13</v>
      </c>
      <c r="W17" s="11">
        <v>6</v>
      </c>
      <c r="X17" s="5">
        <f t="shared" si="0"/>
        <v>78</v>
      </c>
      <c r="Y17" s="47" t="s">
        <v>292</v>
      </c>
      <c r="Z17" s="11">
        <v>8</v>
      </c>
    </row>
    <row r="18" spans="1:26" s="12" customFormat="1" ht="20.100000000000001" customHeight="1" x14ac:dyDescent="0.25">
      <c r="A18" s="13" t="str">
        <f>("109")</f>
        <v>109</v>
      </c>
      <c r="B18" s="14" t="s">
        <v>132</v>
      </c>
      <c r="C18" s="14" t="s">
        <v>133</v>
      </c>
      <c r="D18" s="15" t="s">
        <v>58</v>
      </c>
      <c r="E18" s="14" t="s">
        <v>134</v>
      </c>
      <c r="F18" s="19"/>
      <c r="G18" s="17" t="str">
        <f>("198403")</f>
        <v>198403</v>
      </c>
      <c r="H18" s="15" t="s">
        <v>73</v>
      </c>
      <c r="I18" s="11">
        <v>1</v>
      </c>
      <c r="J18" s="11">
        <v>0</v>
      </c>
      <c r="K18" s="11">
        <v>5</v>
      </c>
      <c r="L18" s="11">
        <v>1</v>
      </c>
      <c r="M18" s="11">
        <v>3</v>
      </c>
      <c r="N18" s="11">
        <v>0</v>
      </c>
      <c r="O18" s="11">
        <v>10</v>
      </c>
      <c r="P18" s="11">
        <v>0</v>
      </c>
      <c r="Q18" s="11">
        <v>1</v>
      </c>
      <c r="R18" s="11">
        <v>15</v>
      </c>
      <c r="S18" s="11">
        <v>0</v>
      </c>
      <c r="T18" s="11">
        <v>8</v>
      </c>
      <c r="U18" s="11">
        <v>15</v>
      </c>
      <c r="V18" s="11">
        <v>15</v>
      </c>
      <c r="W18" s="11">
        <v>5</v>
      </c>
      <c r="X18" s="5">
        <f t="shared" si="0"/>
        <v>79</v>
      </c>
      <c r="Y18" s="11" t="s">
        <v>293</v>
      </c>
      <c r="Z18" s="11">
        <v>7</v>
      </c>
    </row>
    <row r="19" spans="1:26" s="12" customFormat="1" ht="20.100000000000001" customHeight="1" x14ac:dyDescent="0.25">
      <c r="A19" s="13" t="str">
        <f>("577")</f>
        <v>577</v>
      </c>
      <c r="B19" s="14" t="s">
        <v>215</v>
      </c>
      <c r="C19" s="14" t="s">
        <v>253</v>
      </c>
      <c r="D19" s="15" t="s">
        <v>58</v>
      </c>
      <c r="E19" s="14" t="s">
        <v>254</v>
      </c>
      <c r="F19" s="19"/>
      <c r="G19" s="17" t="str">
        <f>("154356")</f>
        <v>154356</v>
      </c>
      <c r="H19" s="15" t="s">
        <v>0</v>
      </c>
      <c r="I19" s="11">
        <v>2</v>
      </c>
      <c r="J19" s="11">
        <v>0</v>
      </c>
      <c r="K19" s="11">
        <v>3</v>
      </c>
      <c r="L19" s="11">
        <v>2</v>
      </c>
      <c r="M19" s="11">
        <v>8</v>
      </c>
      <c r="N19" s="11">
        <v>4</v>
      </c>
      <c r="O19" s="11">
        <v>13</v>
      </c>
      <c r="P19" s="11">
        <v>0</v>
      </c>
      <c r="Q19" s="11">
        <v>6</v>
      </c>
      <c r="R19" s="11">
        <v>5</v>
      </c>
      <c r="S19" s="11">
        <v>3</v>
      </c>
      <c r="T19" s="11">
        <v>8</v>
      </c>
      <c r="U19" s="11">
        <v>15</v>
      </c>
      <c r="V19" s="11">
        <v>15</v>
      </c>
      <c r="W19" s="11">
        <v>2</v>
      </c>
      <c r="X19" s="5">
        <f t="shared" si="0"/>
        <v>86</v>
      </c>
      <c r="Y19" s="47" t="s">
        <v>294</v>
      </c>
      <c r="Z19" s="11">
        <v>6</v>
      </c>
    </row>
    <row r="20" spans="1:26" s="12" customFormat="1" ht="20.100000000000001" customHeight="1" x14ac:dyDescent="0.25">
      <c r="A20" s="13" t="str">
        <f>("110")</f>
        <v>110</v>
      </c>
      <c r="B20" s="14" t="s">
        <v>135</v>
      </c>
      <c r="C20" s="14" t="s">
        <v>133</v>
      </c>
      <c r="D20" s="15" t="s">
        <v>58</v>
      </c>
      <c r="E20" s="14" t="s">
        <v>136</v>
      </c>
      <c r="F20" s="19"/>
      <c r="G20" s="17" t="str">
        <f>("87403")</f>
        <v>87403</v>
      </c>
      <c r="H20" s="15" t="s">
        <v>0</v>
      </c>
      <c r="I20" s="11">
        <v>1</v>
      </c>
      <c r="J20" s="11">
        <v>0</v>
      </c>
      <c r="K20" s="11">
        <v>7</v>
      </c>
      <c r="L20" s="11">
        <v>6</v>
      </c>
      <c r="M20" s="11">
        <v>6</v>
      </c>
      <c r="N20" s="11">
        <v>6</v>
      </c>
      <c r="O20" s="11">
        <v>11</v>
      </c>
      <c r="P20" s="11">
        <v>0</v>
      </c>
      <c r="Q20" s="11">
        <v>10</v>
      </c>
      <c r="R20" s="11">
        <v>15</v>
      </c>
      <c r="S20" s="11">
        <v>1</v>
      </c>
      <c r="T20" s="11">
        <v>13</v>
      </c>
      <c r="U20" s="11">
        <v>11</v>
      </c>
      <c r="V20" s="11">
        <v>15</v>
      </c>
      <c r="W20" s="11">
        <v>6</v>
      </c>
      <c r="X20" s="5">
        <f t="shared" si="0"/>
        <v>108</v>
      </c>
      <c r="Y20" s="11" t="s">
        <v>295</v>
      </c>
      <c r="Z20" s="11">
        <v>5</v>
      </c>
    </row>
    <row r="21" spans="1:26" s="12" customFormat="1" ht="20.100000000000001" customHeight="1" x14ac:dyDescent="0.25">
      <c r="A21" s="13" t="str">
        <f>("21")</f>
        <v>21</v>
      </c>
      <c r="B21" s="14" t="s">
        <v>56</v>
      </c>
      <c r="C21" s="14" t="s">
        <v>57</v>
      </c>
      <c r="D21" s="15" t="s">
        <v>58</v>
      </c>
      <c r="E21" s="14" t="s">
        <v>59</v>
      </c>
      <c r="F21" s="19"/>
      <c r="G21" s="17" t="str">
        <f>("196396")</f>
        <v>196396</v>
      </c>
      <c r="H21" s="15" t="s">
        <v>60</v>
      </c>
      <c r="I21" s="11">
        <v>15</v>
      </c>
      <c r="J21" s="11">
        <v>15</v>
      </c>
      <c r="K21" s="11">
        <v>9</v>
      </c>
      <c r="L21" s="11">
        <v>0</v>
      </c>
      <c r="M21" s="11">
        <v>4</v>
      </c>
      <c r="N21" s="11">
        <v>11</v>
      </c>
      <c r="O21" s="11">
        <v>15</v>
      </c>
      <c r="P21" s="11">
        <v>1</v>
      </c>
      <c r="Q21" s="11">
        <v>15</v>
      </c>
      <c r="R21" s="11">
        <v>11</v>
      </c>
      <c r="S21" s="11">
        <v>5</v>
      </c>
      <c r="T21" s="11">
        <v>15</v>
      </c>
      <c r="U21" s="11">
        <v>15</v>
      </c>
      <c r="V21" s="11">
        <v>15</v>
      </c>
      <c r="W21" s="11">
        <v>9</v>
      </c>
      <c r="X21" s="5">
        <f t="shared" si="0"/>
        <v>155</v>
      </c>
      <c r="Y21" s="11" t="s">
        <v>296</v>
      </c>
      <c r="Z21" s="11">
        <v>4</v>
      </c>
    </row>
    <row r="22" spans="1:26" s="12" customFormat="1" ht="20.100000000000001" customHeight="1" x14ac:dyDescent="0.25">
      <c r="A22" s="13" t="str">
        <f>("295")</f>
        <v>295</v>
      </c>
      <c r="B22" s="14" t="s">
        <v>141</v>
      </c>
      <c r="C22" s="14" t="s">
        <v>160</v>
      </c>
      <c r="D22" s="15" t="s">
        <v>58</v>
      </c>
      <c r="E22" s="14" t="s">
        <v>140</v>
      </c>
      <c r="F22" s="19"/>
      <c r="G22" s="17" t="str">
        <f>("106149")</f>
        <v>106149</v>
      </c>
      <c r="H22" s="15" t="s">
        <v>0</v>
      </c>
      <c r="I22" s="11" t="s">
        <v>283</v>
      </c>
      <c r="J22" s="11" t="s">
        <v>283</v>
      </c>
      <c r="K22" s="11" t="s">
        <v>283</v>
      </c>
      <c r="L22" s="11" t="s">
        <v>283</v>
      </c>
      <c r="M22" s="11" t="s">
        <v>283</v>
      </c>
      <c r="N22" s="11" t="s">
        <v>283</v>
      </c>
      <c r="O22" s="11" t="s">
        <v>283</v>
      </c>
      <c r="P22" s="11" t="s">
        <v>283</v>
      </c>
      <c r="Q22" s="11" t="s">
        <v>283</v>
      </c>
      <c r="R22" s="11" t="s">
        <v>283</v>
      </c>
      <c r="S22" s="11" t="s">
        <v>283</v>
      </c>
      <c r="T22" s="11" t="s">
        <v>283</v>
      </c>
      <c r="U22" s="11" t="s">
        <v>283</v>
      </c>
      <c r="V22" s="11" t="s">
        <v>283</v>
      </c>
      <c r="W22" s="11" t="s">
        <v>283</v>
      </c>
      <c r="X22" s="5" t="s">
        <v>283</v>
      </c>
      <c r="Y22" s="11" t="s">
        <v>283</v>
      </c>
      <c r="Z22" s="11">
        <v>0</v>
      </c>
    </row>
    <row r="23" spans="1:26" s="12" customFormat="1" ht="20.100000000000001" customHeight="1" x14ac:dyDescent="0.25">
      <c r="A23" s="13" t="str">
        <f>("26")</f>
        <v>26</v>
      </c>
      <c r="B23" s="14" t="s">
        <v>74</v>
      </c>
      <c r="C23" s="14" t="s">
        <v>41</v>
      </c>
      <c r="D23" s="15" t="s">
        <v>58</v>
      </c>
      <c r="E23" s="14" t="s">
        <v>75</v>
      </c>
      <c r="F23" s="19"/>
      <c r="G23" s="17" t="str">
        <f>("129780")</f>
        <v>129780</v>
      </c>
      <c r="H23" s="15" t="s">
        <v>0</v>
      </c>
      <c r="I23" s="11" t="s">
        <v>283</v>
      </c>
      <c r="J23" s="11" t="s">
        <v>283</v>
      </c>
      <c r="K23" s="11" t="s">
        <v>283</v>
      </c>
      <c r="L23" s="11" t="s">
        <v>283</v>
      </c>
      <c r="M23" s="11" t="s">
        <v>283</v>
      </c>
      <c r="N23" s="11" t="s">
        <v>283</v>
      </c>
      <c r="O23" s="11" t="s">
        <v>283</v>
      </c>
      <c r="P23" s="11" t="s">
        <v>283</v>
      </c>
      <c r="Q23" s="11" t="s">
        <v>283</v>
      </c>
      <c r="R23" s="11" t="s">
        <v>283</v>
      </c>
      <c r="S23" s="11" t="s">
        <v>283</v>
      </c>
      <c r="T23" s="11" t="s">
        <v>283</v>
      </c>
      <c r="U23" s="11" t="s">
        <v>283</v>
      </c>
      <c r="V23" s="11" t="s">
        <v>283</v>
      </c>
      <c r="W23" s="11" t="s">
        <v>283</v>
      </c>
      <c r="X23" s="5" t="s">
        <v>283</v>
      </c>
      <c r="Y23" s="11" t="s">
        <v>283</v>
      </c>
      <c r="Z23" s="11">
        <v>0</v>
      </c>
    </row>
    <row r="24" spans="1:26" s="12" customFormat="1" ht="20.100000000000001" customHeight="1" x14ac:dyDescent="0.25">
      <c r="A24" s="13" t="str">
        <f>("260")</f>
        <v>260</v>
      </c>
      <c r="B24" s="14" t="s">
        <v>191</v>
      </c>
      <c r="C24" s="14" t="s">
        <v>192</v>
      </c>
      <c r="D24" s="15" t="s">
        <v>58</v>
      </c>
      <c r="E24" s="14" t="s">
        <v>193</v>
      </c>
      <c r="F24" s="19"/>
      <c r="G24" s="17" t="str">
        <f>("208135")</f>
        <v>208135</v>
      </c>
      <c r="H24" s="15" t="s">
        <v>0</v>
      </c>
      <c r="I24" s="11" t="s">
        <v>283</v>
      </c>
      <c r="J24" s="11" t="s">
        <v>283</v>
      </c>
      <c r="K24" s="11" t="s">
        <v>283</v>
      </c>
      <c r="L24" s="11" t="s">
        <v>283</v>
      </c>
      <c r="M24" s="11" t="s">
        <v>283</v>
      </c>
      <c r="N24" s="11" t="s">
        <v>283</v>
      </c>
      <c r="O24" s="11" t="s">
        <v>283</v>
      </c>
      <c r="P24" s="11" t="s">
        <v>283</v>
      </c>
      <c r="Q24" s="11" t="s">
        <v>283</v>
      </c>
      <c r="R24" s="11" t="s">
        <v>283</v>
      </c>
      <c r="S24" s="11" t="s">
        <v>283</v>
      </c>
      <c r="T24" s="11" t="s">
        <v>283</v>
      </c>
      <c r="U24" s="11" t="s">
        <v>283</v>
      </c>
      <c r="V24" s="11" t="s">
        <v>283</v>
      </c>
      <c r="W24" s="11" t="s">
        <v>283</v>
      </c>
      <c r="X24" s="5" t="s">
        <v>283</v>
      </c>
      <c r="Y24" s="11" t="s">
        <v>283</v>
      </c>
      <c r="Z24" s="11">
        <v>0</v>
      </c>
    </row>
    <row r="25" spans="1:26" s="12" customFormat="1" ht="20.100000000000001" customHeight="1" x14ac:dyDescent="0.25">
      <c r="A25" s="35"/>
      <c r="B25" s="37"/>
      <c r="C25" s="37"/>
      <c r="D25" s="39"/>
      <c r="E25" s="37"/>
      <c r="F25" s="44"/>
      <c r="G25" s="43"/>
      <c r="H25" s="3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5"/>
      <c r="Y25" s="11"/>
      <c r="Z25" s="11"/>
    </row>
    <row r="26" spans="1:26" s="12" customFormat="1" ht="20.100000000000001" customHeight="1" x14ac:dyDescent="0.25">
      <c r="A26" s="13" t="str">
        <f>("360")</f>
        <v>360</v>
      </c>
      <c r="B26" s="14" t="s">
        <v>204</v>
      </c>
      <c r="C26" s="14" t="s">
        <v>205</v>
      </c>
      <c r="D26" s="15" t="s">
        <v>161</v>
      </c>
      <c r="E26" s="14" t="s">
        <v>193</v>
      </c>
      <c r="F26" s="21" t="s">
        <v>162</v>
      </c>
      <c r="G26" s="17" t="str">
        <f>("32312")</f>
        <v>32312</v>
      </c>
      <c r="H26" s="15" t="s">
        <v>0</v>
      </c>
      <c r="I26" s="11">
        <v>0</v>
      </c>
      <c r="J26" s="11">
        <v>0</v>
      </c>
      <c r="K26" s="11">
        <v>1</v>
      </c>
      <c r="L26" s="11">
        <v>0</v>
      </c>
      <c r="M26" s="11">
        <v>1</v>
      </c>
      <c r="N26" s="11">
        <v>1</v>
      </c>
      <c r="O26" s="11">
        <v>1</v>
      </c>
      <c r="P26" s="11">
        <v>0</v>
      </c>
      <c r="Q26" s="11">
        <v>0</v>
      </c>
      <c r="R26" s="11">
        <v>3</v>
      </c>
      <c r="S26" s="11">
        <v>4</v>
      </c>
      <c r="T26" s="11">
        <v>8</v>
      </c>
      <c r="U26" s="11">
        <v>0</v>
      </c>
      <c r="V26" s="11">
        <v>13</v>
      </c>
      <c r="W26" s="11">
        <v>2</v>
      </c>
      <c r="X26" s="5">
        <f t="shared" ref="X26:X32" si="1">SUM(I26:W26)</f>
        <v>34</v>
      </c>
      <c r="Y26" s="11" t="s">
        <v>285</v>
      </c>
      <c r="Z26" s="11">
        <v>20</v>
      </c>
    </row>
    <row r="27" spans="1:26" s="12" customFormat="1" ht="20.100000000000001" customHeight="1" x14ac:dyDescent="0.25">
      <c r="A27" s="13" t="str">
        <f>("381")</f>
        <v>381</v>
      </c>
      <c r="B27" s="14" t="s">
        <v>209</v>
      </c>
      <c r="C27" s="14" t="s">
        <v>208</v>
      </c>
      <c r="D27" s="15" t="s">
        <v>161</v>
      </c>
      <c r="E27" s="14" t="s">
        <v>185</v>
      </c>
      <c r="F27" s="21" t="s">
        <v>162</v>
      </c>
      <c r="G27" s="17" t="str">
        <f>("89770")</f>
        <v>89770</v>
      </c>
      <c r="H27" s="15" t="s">
        <v>73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11">
        <v>0</v>
      </c>
      <c r="P27" s="11">
        <v>0</v>
      </c>
      <c r="Q27" s="11">
        <v>0</v>
      </c>
      <c r="R27" s="11">
        <v>9</v>
      </c>
      <c r="S27" s="11">
        <v>6</v>
      </c>
      <c r="T27" s="11">
        <v>9</v>
      </c>
      <c r="U27" s="11">
        <v>7</v>
      </c>
      <c r="V27" s="11">
        <v>11</v>
      </c>
      <c r="W27" s="11">
        <v>1</v>
      </c>
      <c r="X27" s="5">
        <f t="shared" si="1"/>
        <v>44</v>
      </c>
      <c r="Y27" s="11" t="s">
        <v>286</v>
      </c>
      <c r="Z27" s="47">
        <v>17</v>
      </c>
    </row>
    <row r="28" spans="1:26" s="12" customFormat="1" ht="20.100000000000001" customHeight="1" x14ac:dyDescent="0.25">
      <c r="A28" s="13" t="str">
        <f>("177")</f>
        <v>177</v>
      </c>
      <c r="B28" s="14" t="s">
        <v>145</v>
      </c>
      <c r="C28" s="14" t="s">
        <v>160</v>
      </c>
      <c r="D28" s="15" t="s">
        <v>161</v>
      </c>
      <c r="E28" s="14" t="s">
        <v>134</v>
      </c>
      <c r="F28" s="21" t="s">
        <v>162</v>
      </c>
      <c r="G28" s="17" t="str">
        <f>("106148")</f>
        <v>106148</v>
      </c>
      <c r="H28" s="15" t="s">
        <v>0</v>
      </c>
      <c r="I28" s="11">
        <v>0</v>
      </c>
      <c r="J28" s="11">
        <v>0</v>
      </c>
      <c r="K28" s="11">
        <v>0</v>
      </c>
      <c r="L28" s="11">
        <v>1</v>
      </c>
      <c r="M28" s="11">
        <v>0</v>
      </c>
      <c r="N28" s="11">
        <v>2</v>
      </c>
      <c r="O28" s="11">
        <v>3</v>
      </c>
      <c r="P28" s="11">
        <v>0</v>
      </c>
      <c r="Q28" s="11">
        <v>13</v>
      </c>
      <c r="R28" s="11">
        <v>0</v>
      </c>
      <c r="S28" s="11">
        <v>9</v>
      </c>
      <c r="T28" s="11">
        <v>11</v>
      </c>
      <c r="U28" s="11">
        <v>0</v>
      </c>
      <c r="V28" s="11">
        <v>11</v>
      </c>
      <c r="W28" s="11">
        <v>2</v>
      </c>
      <c r="X28" s="5">
        <f t="shared" si="1"/>
        <v>52</v>
      </c>
      <c r="Y28" s="11" t="s">
        <v>287</v>
      </c>
      <c r="Z28" s="11">
        <v>15</v>
      </c>
    </row>
    <row r="29" spans="1:26" s="12" customFormat="1" ht="20.100000000000001" customHeight="1" x14ac:dyDescent="0.25">
      <c r="A29" s="13" t="str">
        <f>("802")</f>
        <v>802</v>
      </c>
      <c r="B29" s="14" t="s">
        <v>163</v>
      </c>
      <c r="C29" s="14" t="s">
        <v>263</v>
      </c>
      <c r="D29" s="15" t="s">
        <v>161</v>
      </c>
      <c r="E29" s="14" t="s">
        <v>118</v>
      </c>
      <c r="F29" s="21" t="s">
        <v>162</v>
      </c>
      <c r="G29" s="17" t="str">
        <f>("131244")</f>
        <v>131244</v>
      </c>
      <c r="H29" s="15" t="s">
        <v>126</v>
      </c>
      <c r="I29" s="11">
        <v>1</v>
      </c>
      <c r="J29" s="11">
        <v>1</v>
      </c>
      <c r="K29" s="11">
        <v>1</v>
      </c>
      <c r="L29" s="11">
        <v>0</v>
      </c>
      <c r="M29" s="11">
        <v>8</v>
      </c>
      <c r="N29" s="11">
        <v>2</v>
      </c>
      <c r="O29" s="11">
        <v>0</v>
      </c>
      <c r="P29" s="11">
        <v>0</v>
      </c>
      <c r="Q29" s="11">
        <v>0</v>
      </c>
      <c r="R29" s="11">
        <v>8</v>
      </c>
      <c r="S29" s="11">
        <v>10</v>
      </c>
      <c r="T29" s="11">
        <v>11</v>
      </c>
      <c r="U29" s="11">
        <v>0</v>
      </c>
      <c r="V29" s="11">
        <v>11</v>
      </c>
      <c r="W29" s="11">
        <v>0</v>
      </c>
      <c r="X29" s="5">
        <f t="shared" si="1"/>
        <v>53</v>
      </c>
      <c r="Y29" s="11" t="s">
        <v>288</v>
      </c>
      <c r="Z29" s="11">
        <v>13</v>
      </c>
    </row>
    <row r="30" spans="1:26" s="12" customFormat="1" ht="20.100000000000001" customHeight="1" x14ac:dyDescent="0.25">
      <c r="A30" s="13" t="str">
        <f>("221")</f>
        <v>221</v>
      </c>
      <c r="B30" s="14" t="s">
        <v>175</v>
      </c>
      <c r="C30" s="14" t="s">
        <v>176</v>
      </c>
      <c r="D30" s="15" t="s">
        <v>161</v>
      </c>
      <c r="E30" s="14" t="s">
        <v>140</v>
      </c>
      <c r="F30" s="21" t="s">
        <v>162</v>
      </c>
      <c r="G30" s="17" t="str">
        <f>("29959")</f>
        <v>29959</v>
      </c>
      <c r="H30" s="15" t="s">
        <v>73</v>
      </c>
      <c r="I30" s="11">
        <v>2</v>
      </c>
      <c r="J30" s="11">
        <v>0</v>
      </c>
      <c r="K30" s="11">
        <v>3</v>
      </c>
      <c r="L30" s="11">
        <v>1</v>
      </c>
      <c r="M30" s="11">
        <v>5</v>
      </c>
      <c r="N30" s="11">
        <v>1</v>
      </c>
      <c r="O30" s="11">
        <v>3</v>
      </c>
      <c r="P30" s="11">
        <v>0</v>
      </c>
      <c r="Q30" s="11">
        <v>0</v>
      </c>
      <c r="R30" s="11">
        <v>9</v>
      </c>
      <c r="S30" s="11">
        <v>11</v>
      </c>
      <c r="T30" s="11">
        <v>11</v>
      </c>
      <c r="U30" s="11">
        <v>0</v>
      </c>
      <c r="V30" s="11">
        <v>9</v>
      </c>
      <c r="W30" s="11">
        <v>0</v>
      </c>
      <c r="X30" s="5">
        <f t="shared" si="1"/>
        <v>55</v>
      </c>
      <c r="Y30" s="11" t="s">
        <v>289</v>
      </c>
      <c r="Z30" s="11">
        <v>11</v>
      </c>
    </row>
    <row r="31" spans="1:26" s="12" customFormat="1" ht="20.100000000000001" customHeight="1" x14ac:dyDescent="0.25">
      <c r="A31" s="34">
        <v>807</v>
      </c>
      <c r="B31" s="36" t="s">
        <v>123</v>
      </c>
      <c r="C31" s="36" t="s">
        <v>269</v>
      </c>
      <c r="D31" s="38" t="s">
        <v>161</v>
      </c>
      <c r="E31" s="36" t="s">
        <v>193</v>
      </c>
      <c r="F31" s="21" t="s">
        <v>162</v>
      </c>
      <c r="G31" s="42">
        <v>74544</v>
      </c>
      <c r="H31" s="38" t="s">
        <v>270</v>
      </c>
      <c r="I31" s="31">
        <v>2</v>
      </c>
      <c r="J31" s="31">
        <v>0</v>
      </c>
      <c r="K31" s="31">
        <v>1</v>
      </c>
      <c r="L31" s="31">
        <v>0</v>
      </c>
      <c r="M31" s="31">
        <v>1</v>
      </c>
      <c r="N31" s="31">
        <v>1</v>
      </c>
      <c r="O31" s="31">
        <v>2</v>
      </c>
      <c r="P31" s="31">
        <v>0</v>
      </c>
      <c r="Q31" s="31">
        <v>0</v>
      </c>
      <c r="R31" s="31">
        <v>15</v>
      </c>
      <c r="S31" s="31">
        <v>6</v>
      </c>
      <c r="T31" s="31">
        <v>11</v>
      </c>
      <c r="U31" s="31">
        <v>6</v>
      </c>
      <c r="V31" s="31">
        <v>15</v>
      </c>
      <c r="W31" s="31">
        <v>0</v>
      </c>
      <c r="X31" s="5">
        <f t="shared" si="1"/>
        <v>60</v>
      </c>
      <c r="Y31" s="11" t="s">
        <v>290</v>
      </c>
      <c r="Z31" s="11">
        <v>10</v>
      </c>
    </row>
    <row r="32" spans="1:26" s="12" customFormat="1" ht="20.100000000000001" customHeight="1" x14ac:dyDescent="0.25">
      <c r="A32" s="34">
        <v>806</v>
      </c>
      <c r="B32" s="14" t="s">
        <v>266</v>
      </c>
      <c r="C32" s="14" t="s">
        <v>267</v>
      </c>
      <c r="D32" s="15" t="s">
        <v>161</v>
      </c>
      <c r="E32" s="14" t="s">
        <v>94</v>
      </c>
      <c r="F32" s="21" t="s">
        <v>162</v>
      </c>
      <c r="G32" s="42">
        <v>155673</v>
      </c>
      <c r="H32" s="15" t="s">
        <v>268</v>
      </c>
      <c r="I32" s="11">
        <v>0</v>
      </c>
      <c r="J32" s="11">
        <v>0</v>
      </c>
      <c r="K32" s="11">
        <v>3</v>
      </c>
      <c r="L32" s="11">
        <v>11</v>
      </c>
      <c r="M32" s="11">
        <v>2</v>
      </c>
      <c r="N32" s="11">
        <v>4</v>
      </c>
      <c r="O32" s="11">
        <v>13</v>
      </c>
      <c r="P32" s="11">
        <v>0</v>
      </c>
      <c r="Q32" s="11">
        <v>1</v>
      </c>
      <c r="R32" s="11">
        <v>15</v>
      </c>
      <c r="S32" s="11">
        <v>11</v>
      </c>
      <c r="T32" s="47">
        <v>13</v>
      </c>
      <c r="U32" s="11">
        <v>15</v>
      </c>
      <c r="V32" s="11">
        <v>15</v>
      </c>
      <c r="W32" s="11">
        <v>1</v>
      </c>
      <c r="X32" s="5">
        <f t="shared" si="1"/>
        <v>104</v>
      </c>
      <c r="Y32" s="11" t="s">
        <v>291</v>
      </c>
      <c r="Z32" s="11">
        <v>9</v>
      </c>
    </row>
    <row r="33" spans="1:26" s="12" customFormat="1" ht="20.100000000000001" customHeight="1" x14ac:dyDescent="0.25">
      <c r="A33" s="34"/>
      <c r="B33" s="36"/>
      <c r="C33" s="36"/>
      <c r="D33" s="38"/>
      <c r="E33" s="36"/>
      <c r="F33" s="45"/>
      <c r="G33" s="42"/>
      <c r="H33" s="38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5"/>
      <c r="Y33" s="31"/>
      <c r="Z33" s="31"/>
    </row>
    <row r="34" spans="1:26" s="12" customFormat="1" ht="18.75" customHeight="1" x14ac:dyDescent="0.25">
      <c r="A34" s="13" t="str">
        <f>("22")</f>
        <v>22</v>
      </c>
      <c r="B34" s="14" t="s">
        <v>61</v>
      </c>
      <c r="C34" s="14" t="s">
        <v>62</v>
      </c>
      <c r="D34" s="15" t="s">
        <v>63</v>
      </c>
      <c r="E34" s="14" t="s">
        <v>64</v>
      </c>
      <c r="F34" s="20"/>
      <c r="G34" s="17" t="str">
        <f>("119604")</f>
        <v>119604</v>
      </c>
      <c r="H34" s="15" t="s">
        <v>65</v>
      </c>
      <c r="I34" s="11">
        <v>0</v>
      </c>
      <c r="J34" s="11">
        <v>0</v>
      </c>
      <c r="K34" s="11">
        <v>0</v>
      </c>
      <c r="L34" s="11">
        <v>0</v>
      </c>
      <c r="M34" s="11">
        <v>3</v>
      </c>
      <c r="N34" s="11">
        <v>10</v>
      </c>
      <c r="O34" s="11">
        <v>1</v>
      </c>
      <c r="P34" s="11">
        <v>3</v>
      </c>
      <c r="Q34" s="11">
        <v>0</v>
      </c>
      <c r="R34" s="11">
        <v>0</v>
      </c>
      <c r="S34" s="11">
        <v>1</v>
      </c>
      <c r="T34" s="11">
        <v>1</v>
      </c>
      <c r="U34" s="11">
        <v>5</v>
      </c>
      <c r="V34" s="11">
        <v>3</v>
      </c>
      <c r="W34" s="11">
        <v>2</v>
      </c>
      <c r="X34" s="5">
        <f t="shared" ref="X34:X39" si="2">SUM(I34:W34)</f>
        <v>29</v>
      </c>
      <c r="Y34" s="11" t="s">
        <v>285</v>
      </c>
      <c r="Z34" s="11">
        <v>20</v>
      </c>
    </row>
    <row r="35" spans="1:26" s="12" customFormat="1" ht="20.100000000000001" customHeight="1" x14ac:dyDescent="0.25">
      <c r="A35" s="13" t="str">
        <f>("262")</f>
        <v>262</v>
      </c>
      <c r="B35" s="14" t="s">
        <v>194</v>
      </c>
      <c r="C35" s="14" t="s">
        <v>184</v>
      </c>
      <c r="D35" s="15" t="s">
        <v>63</v>
      </c>
      <c r="E35" s="14" t="s">
        <v>195</v>
      </c>
      <c r="F35" s="20"/>
      <c r="G35" s="17" t="str">
        <f>("53187")</f>
        <v>53187</v>
      </c>
      <c r="H35" s="15" t="s">
        <v>73</v>
      </c>
      <c r="I35" s="11">
        <v>0</v>
      </c>
      <c r="J35" s="11">
        <v>0</v>
      </c>
      <c r="K35" s="11">
        <v>5</v>
      </c>
      <c r="L35" s="11">
        <v>0</v>
      </c>
      <c r="M35" s="11">
        <v>4</v>
      </c>
      <c r="N35" s="11">
        <v>5</v>
      </c>
      <c r="O35" s="11">
        <v>6</v>
      </c>
      <c r="P35" s="11">
        <v>4</v>
      </c>
      <c r="Q35" s="11">
        <v>3</v>
      </c>
      <c r="R35" s="11">
        <v>2</v>
      </c>
      <c r="S35" s="11">
        <v>2</v>
      </c>
      <c r="T35" s="11">
        <v>5</v>
      </c>
      <c r="U35" s="11">
        <v>0</v>
      </c>
      <c r="V35" s="11">
        <v>8</v>
      </c>
      <c r="W35" s="11">
        <v>4</v>
      </c>
      <c r="X35" s="5">
        <f t="shared" si="2"/>
        <v>48</v>
      </c>
      <c r="Y35" s="11" t="s">
        <v>286</v>
      </c>
      <c r="Z35" s="47">
        <v>17</v>
      </c>
    </row>
    <row r="36" spans="1:26" s="12" customFormat="1" ht="20.100000000000001" customHeight="1" x14ac:dyDescent="0.25">
      <c r="A36" s="13" t="str">
        <f>("801")</f>
        <v>801</v>
      </c>
      <c r="B36" s="14" t="s">
        <v>260</v>
      </c>
      <c r="C36" s="14" t="s">
        <v>261</v>
      </c>
      <c r="D36" s="15" t="s">
        <v>63</v>
      </c>
      <c r="E36" s="14" t="s">
        <v>262</v>
      </c>
      <c r="F36" s="20"/>
      <c r="G36" s="17" t="str">
        <f>("116766")</f>
        <v>116766</v>
      </c>
      <c r="H36" s="15" t="s">
        <v>0</v>
      </c>
      <c r="I36" s="11">
        <v>0</v>
      </c>
      <c r="J36" s="11">
        <v>0</v>
      </c>
      <c r="K36" s="11">
        <v>0</v>
      </c>
      <c r="L36" s="11">
        <v>1</v>
      </c>
      <c r="M36" s="11">
        <v>6</v>
      </c>
      <c r="N36" s="11">
        <v>1</v>
      </c>
      <c r="O36" s="11">
        <v>9</v>
      </c>
      <c r="P36" s="11">
        <v>10</v>
      </c>
      <c r="Q36" s="11">
        <v>0</v>
      </c>
      <c r="R36" s="11">
        <v>5</v>
      </c>
      <c r="S36" s="11">
        <v>3</v>
      </c>
      <c r="T36" s="11">
        <v>11</v>
      </c>
      <c r="U36" s="11">
        <v>9</v>
      </c>
      <c r="V36" s="11">
        <v>11</v>
      </c>
      <c r="W36" s="11">
        <v>5</v>
      </c>
      <c r="X36" s="5">
        <f t="shared" si="2"/>
        <v>71</v>
      </c>
      <c r="Y36" s="11" t="s">
        <v>287</v>
      </c>
      <c r="Z36" s="11">
        <v>15</v>
      </c>
    </row>
    <row r="37" spans="1:26" s="12" customFormat="1" ht="20.100000000000001" customHeight="1" x14ac:dyDescent="0.25">
      <c r="A37" s="34">
        <v>808</v>
      </c>
      <c r="B37" s="36" t="s">
        <v>271</v>
      </c>
      <c r="C37" s="36" t="s">
        <v>272</v>
      </c>
      <c r="D37" s="38" t="s">
        <v>63</v>
      </c>
      <c r="E37" s="36" t="s">
        <v>172</v>
      </c>
      <c r="F37" s="20"/>
      <c r="G37" s="42">
        <v>91094</v>
      </c>
      <c r="H37" s="38" t="s">
        <v>60</v>
      </c>
      <c r="I37" s="31">
        <v>8</v>
      </c>
      <c r="J37" s="31">
        <v>0</v>
      </c>
      <c r="K37" s="31">
        <v>4</v>
      </c>
      <c r="L37" s="31">
        <v>1</v>
      </c>
      <c r="M37" s="31">
        <v>2</v>
      </c>
      <c r="N37" s="31">
        <v>0</v>
      </c>
      <c r="O37" s="31">
        <v>4</v>
      </c>
      <c r="P37" s="31">
        <v>9</v>
      </c>
      <c r="Q37" s="31">
        <v>5</v>
      </c>
      <c r="R37" s="31">
        <v>7</v>
      </c>
      <c r="S37" s="31">
        <v>6</v>
      </c>
      <c r="T37" s="31">
        <v>9</v>
      </c>
      <c r="U37" s="31">
        <v>1</v>
      </c>
      <c r="V37" s="31">
        <v>11</v>
      </c>
      <c r="W37" s="31">
        <v>7</v>
      </c>
      <c r="X37" s="5">
        <f t="shared" si="2"/>
        <v>74</v>
      </c>
      <c r="Y37" s="11" t="s">
        <v>288</v>
      </c>
      <c r="Z37" s="11">
        <v>13</v>
      </c>
    </row>
    <row r="38" spans="1:26" s="12" customFormat="1" ht="20.100000000000001" customHeight="1" x14ac:dyDescent="0.25">
      <c r="A38" s="13" t="str">
        <f>("250")</f>
        <v>250</v>
      </c>
      <c r="B38" s="14" t="s">
        <v>284</v>
      </c>
      <c r="C38" s="14" t="s">
        <v>183</v>
      </c>
      <c r="D38" s="15" t="s">
        <v>63</v>
      </c>
      <c r="E38" s="14" t="s">
        <v>108</v>
      </c>
      <c r="F38" s="20"/>
      <c r="G38" s="17" t="str">
        <f>("11543")</f>
        <v>11543</v>
      </c>
      <c r="H38" s="15" t="s">
        <v>0</v>
      </c>
      <c r="I38" s="11">
        <v>3</v>
      </c>
      <c r="J38" s="11">
        <v>0</v>
      </c>
      <c r="K38" s="11">
        <v>1</v>
      </c>
      <c r="L38" s="11">
        <v>0</v>
      </c>
      <c r="M38" s="11">
        <v>4</v>
      </c>
      <c r="N38" s="11">
        <v>5</v>
      </c>
      <c r="O38" s="11">
        <v>6</v>
      </c>
      <c r="P38" s="11">
        <v>15</v>
      </c>
      <c r="Q38" s="11">
        <v>10</v>
      </c>
      <c r="R38" s="11">
        <v>7</v>
      </c>
      <c r="S38" s="11">
        <v>5</v>
      </c>
      <c r="T38" s="11">
        <v>11</v>
      </c>
      <c r="U38" s="11">
        <v>6</v>
      </c>
      <c r="V38" s="11">
        <v>9</v>
      </c>
      <c r="W38" s="11">
        <v>8</v>
      </c>
      <c r="X38" s="5">
        <f t="shared" si="2"/>
        <v>90</v>
      </c>
      <c r="Y38" s="11" t="s">
        <v>289</v>
      </c>
      <c r="Z38" s="11">
        <v>11</v>
      </c>
    </row>
    <row r="39" spans="1:26" s="12" customFormat="1" ht="20.100000000000001" customHeight="1" x14ac:dyDescent="0.25">
      <c r="A39" s="13" t="str">
        <f>("59")</f>
        <v>59</v>
      </c>
      <c r="B39" s="14" t="s">
        <v>100</v>
      </c>
      <c r="C39" s="14" t="s">
        <v>101</v>
      </c>
      <c r="D39" s="15" t="s">
        <v>63</v>
      </c>
      <c r="E39" s="14" t="s">
        <v>102</v>
      </c>
      <c r="F39" s="20"/>
      <c r="G39" s="17" t="str">
        <f>("87207")</f>
        <v>87207</v>
      </c>
      <c r="H39" s="15" t="s">
        <v>0</v>
      </c>
      <c r="I39" s="11">
        <v>5</v>
      </c>
      <c r="J39" s="11">
        <v>0</v>
      </c>
      <c r="K39" s="11">
        <v>5</v>
      </c>
      <c r="L39" s="11">
        <v>2</v>
      </c>
      <c r="M39" s="11">
        <v>8</v>
      </c>
      <c r="N39" s="11">
        <v>0</v>
      </c>
      <c r="O39" s="11">
        <v>11</v>
      </c>
      <c r="P39" s="11">
        <v>13</v>
      </c>
      <c r="Q39" s="11">
        <v>9</v>
      </c>
      <c r="R39" s="11">
        <v>7</v>
      </c>
      <c r="S39" s="11">
        <v>8</v>
      </c>
      <c r="T39" s="11">
        <v>0</v>
      </c>
      <c r="U39" s="11">
        <v>5</v>
      </c>
      <c r="V39" s="11">
        <v>15</v>
      </c>
      <c r="W39" s="11">
        <v>9</v>
      </c>
      <c r="X39" s="5">
        <f t="shared" si="2"/>
        <v>97</v>
      </c>
      <c r="Y39" s="11" t="s">
        <v>290</v>
      </c>
      <c r="Z39" s="11">
        <v>10</v>
      </c>
    </row>
    <row r="40" spans="1:26" s="12" customFormat="1" ht="20.100000000000001" customHeight="1" x14ac:dyDescent="0.25">
      <c r="A40" s="13" t="str">
        <f>("187")</f>
        <v>187</v>
      </c>
      <c r="B40" s="14" t="s">
        <v>165</v>
      </c>
      <c r="C40" s="14" t="s">
        <v>166</v>
      </c>
      <c r="D40" s="15" t="s">
        <v>63</v>
      </c>
      <c r="E40" s="14" t="s">
        <v>108</v>
      </c>
      <c r="F40" s="20"/>
      <c r="G40" s="17" t="str">
        <f>("199712")</f>
        <v>199712</v>
      </c>
      <c r="H40" s="15" t="s">
        <v>0</v>
      </c>
      <c r="I40" s="11" t="s">
        <v>283</v>
      </c>
      <c r="J40" s="11" t="s">
        <v>283</v>
      </c>
      <c r="K40" s="11" t="s">
        <v>283</v>
      </c>
      <c r="L40" s="11" t="s">
        <v>283</v>
      </c>
      <c r="M40" s="11" t="s">
        <v>283</v>
      </c>
      <c r="N40" s="11" t="s">
        <v>283</v>
      </c>
      <c r="O40" s="11" t="s">
        <v>283</v>
      </c>
      <c r="P40" s="11" t="s">
        <v>283</v>
      </c>
      <c r="Q40" s="11" t="s">
        <v>283</v>
      </c>
      <c r="R40" s="11" t="s">
        <v>283</v>
      </c>
      <c r="S40" s="11" t="s">
        <v>283</v>
      </c>
      <c r="T40" s="11" t="s">
        <v>283</v>
      </c>
      <c r="U40" s="11" t="s">
        <v>283</v>
      </c>
      <c r="V40" s="11" t="s">
        <v>283</v>
      </c>
      <c r="W40" s="11" t="s">
        <v>283</v>
      </c>
      <c r="X40" s="5" t="s">
        <v>283</v>
      </c>
      <c r="Y40" s="11" t="s">
        <v>283</v>
      </c>
      <c r="Z40" s="11"/>
    </row>
    <row r="41" spans="1:26" s="12" customFormat="1" ht="20.100000000000001" customHeight="1" x14ac:dyDescent="0.25">
      <c r="A41" s="13"/>
      <c r="B41" s="14"/>
      <c r="C41" s="14"/>
      <c r="D41" s="15"/>
      <c r="E41" s="14"/>
      <c r="F41" s="44"/>
      <c r="G41" s="17"/>
      <c r="H41" s="1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5"/>
      <c r="Y41" s="11"/>
      <c r="Z41" s="11"/>
    </row>
    <row r="42" spans="1:26" s="12" customFormat="1" ht="20.100000000000001" customHeight="1" x14ac:dyDescent="0.25">
      <c r="A42" s="22">
        <v>255</v>
      </c>
      <c r="B42" s="14" t="s">
        <v>186</v>
      </c>
      <c r="C42" s="14" t="s">
        <v>187</v>
      </c>
      <c r="D42" s="15" t="s">
        <v>50</v>
      </c>
      <c r="E42" s="14" t="s">
        <v>188</v>
      </c>
      <c r="F42" s="18"/>
      <c r="G42" s="23">
        <v>207296</v>
      </c>
      <c r="H42" s="15" t="s">
        <v>0</v>
      </c>
      <c r="I42" s="11">
        <v>1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1</v>
      </c>
      <c r="P42" s="11">
        <v>0</v>
      </c>
      <c r="Q42" s="11">
        <v>2</v>
      </c>
      <c r="R42" s="11">
        <v>0</v>
      </c>
      <c r="S42" s="11">
        <v>0</v>
      </c>
      <c r="T42" s="11">
        <v>0</v>
      </c>
      <c r="U42" s="11">
        <v>2</v>
      </c>
      <c r="V42" s="11">
        <v>0</v>
      </c>
      <c r="W42" s="11">
        <v>0</v>
      </c>
      <c r="X42" s="5">
        <f t="shared" ref="X42:X53" si="3">SUM(I42:W42)</f>
        <v>6</v>
      </c>
      <c r="Y42" s="11" t="s">
        <v>285</v>
      </c>
      <c r="Z42" s="11">
        <v>20</v>
      </c>
    </row>
    <row r="43" spans="1:26" s="12" customFormat="1" ht="20.100000000000001" customHeight="1" x14ac:dyDescent="0.25">
      <c r="A43" s="13" t="str">
        <f>("170")</f>
        <v>170</v>
      </c>
      <c r="B43" s="14" t="s">
        <v>155</v>
      </c>
      <c r="C43" s="14" t="s">
        <v>156</v>
      </c>
      <c r="D43" s="15" t="s">
        <v>50</v>
      </c>
      <c r="E43" s="14" t="s">
        <v>131</v>
      </c>
      <c r="F43" s="18"/>
      <c r="G43" s="17" t="str">
        <f>("150912")</f>
        <v>150912</v>
      </c>
      <c r="H43" s="15" t="s">
        <v>73</v>
      </c>
      <c r="I43" s="11">
        <v>5</v>
      </c>
      <c r="J43" s="11">
        <v>0</v>
      </c>
      <c r="K43" s="11">
        <v>10</v>
      </c>
      <c r="L43" s="11">
        <v>0</v>
      </c>
      <c r="M43" s="11">
        <v>0</v>
      </c>
      <c r="N43" s="11">
        <v>5</v>
      </c>
      <c r="O43" s="11">
        <v>1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2</v>
      </c>
      <c r="V43" s="11">
        <v>0</v>
      </c>
      <c r="W43" s="47">
        <v>3</v>
      </c>
      <c r="X43" s="5">
        <f t="shared" si="3"/>
        <v>26</v>
      </c>
      <c r="Y43" s="11" t="s">
        <v>286</v>
      </c>
      <c r="Z43" s="47">
        <v>17</v>
      </c>
    </row>
    <row r="44" spans="1:26" s="12" customFormat="1" ht="20.100000000000001" customHeight="1" x14ac:dyDescent="0.25">
      <c r="A44" s="13" t="str">
        <f>("66")</f>
        <v>66</v>
      </c>
      <c r="B44" s="14" t="s">
        <v>109</v>
      </c>
      <c r="C44" s="14" t="s">
        <v>110</v>
      </c>
      <c r="D44" s="15" t="s">
        <v>50</v>
      </c>
      <c r="E44" s="14" t="s">
        <v>111</v>
      </c>
      <c r="F44" s="18"/>
      <c r="G44" s="17" t="str">
        <f>("60593")</f>
        <v>60593</v>
      </c>
      <c r="H44" s="15" t="s">
        <v>0</v>
      </c>
      <c r="I44" s="11">
        <v>0</v>
      </c>
      <c r="J44" s="11">
        <v>5</v>
      </c>
      <c r="K44" s="11">
        <v>10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1</v>
      </c>
      <c r="R44" s="11">
        <v>0</v>
      </c>
      <c r="S44" s="11">
        <v>0</v>
      </c>
      <c r="T44" s="11">
        <v>1</v>
      </c>
      <c r="U44" s="11">
        <v>1</v>
      </c>
      <c r="V44" s="11">
        <v>5</v>
      </c>
      <c r="W44" s="11">
        <v>5</v>
      </c>
      <c r="X44" s="5">
        <f t="shared" si="3"/>
        <v>28</v>
      </c>
      <c r="Y44" s="11" t="s">
        <v>287</v>
      </c>
      <c r="Z44" s="11">
        <v>15</v>
      </c>
    </row>
    <row r="45" spans="1:26" s="12" customFormat="1" ht="20.100000000000001" customHeight="1" x14ac:dyDescent="0.25">
      <c r="A45" s="13" t="str">
        <f>("401")</f>
        <v>401</v>
      </c>
      <c r="B45" s="14" t="s">
        <v>92</v>
      </c>
      <c r="C45" s="14" t="s">
        <v>224</v>
      </c>
      <c r="D45" s="15" t="s">
        <v>50</v>
      </c>
      <c r="E45" s="14" t="s">
        <v>225</v>
      </c>
      <c r="F45" s="18"/>
      <c r="G45" s="17" t="str">
        <f>("136575")</f>
        <v>136575</v>
      </c>
      <c r="H45" s="15" t="s">
        <v>0</v>
      </c>
      <c r="I45" s="11">
        <v>1</v>
      </c>
      <c r="J45" s="11">
        <v>0</v>
      </c>
      <c r="K45" s="11">
        <v>7</v>
      </c>
      <c r="L45" s="11">
        <v>3</v>
      </c>
      <c r="M45" s="11">
        <v>0</v>
      </c>
      <c r="N45" s="11">
        <v>5</v>
      </c>
      <c r="O45" s="11">
        <v>0</v>
      </c>
      <c r="P45" s="11">
        <v>1</v>
      </c>
      <c r="Q45" s="11">
        <v>4</v>
      </c>
      <c r="R45" s="11">
        <v>0</v>
      </c>
      <c r="S45" s="11">
        <v>0</v>
      </c>
      <c r="T45" s="11">
        <v>0</v>
      </c>
      <c r="U45" s="11">
        <v>2</v>
      </c>
      <c r="V45" s="11">
        <v>0</v>
      </c>
      <c r="W45" s="11">
        <v>6</v>
      </c>
      <c r="X45" s="5">
        <f t="shared" si="3"/>
        <v>29</v>
      </c>
      <c r="Y45" s="11" t="s">
        <v>288</v>
      </c>
      <c r="Z45" s="11">
        <v>13</v>
      </c>
    </row>
    <row r="46" spans="1:26" s="12" customFormat="1" ht="20.100000000000001" customHeight="1" x14ac:dyDescent="0.25">
      <c r="A46" s="13" t="str">
        <f>("184")</f>
        <v>184</v>
      </c>
      <c r="B46" s="14" t="s">
        <v>163</v>
      </c>
      <c r="C46" s="14" t="s">
        <v>164</v>
      </c>
      <c r="D46" s="15" t="s">
        <v>50</v>
      </c>
      <c r="E46" s="14" t="s">
        <v>47</v>
      </c>
      <c r="F46" s="18"/>
      <c r="G46" s="17" t="str">
        <f>("188685")</f>
        <v>188685</v>
      </c>
      <c r="H46" s="15" t="s">
        <v>95</v>
      </c>
      <c r="I46" s="11">
        <v>3</v>
      </c>
      <c r="J46" s="11">
        <v>2</v>
      </c>
      <c r="K46" s="11">
        <v>5</v>
      </c>
      <c r="L46" s="11">
        <v>6</v>
      </c>
      <c r="M46" s="11">
        <v>0</v>
      </c>
      <c r="N46" s="11">
        <v>0</v>
      </c>
      <c r="O46" s="11">
        <v>0</v>
      </c>
      <c r="P46" s="11">
        <v>1</v>
      </c>
      <c r="Q46" s="11">
        <v>0</v>
      </c>
      <c r="R46" s="11">
        <v>0</v>
      </c>
      <c r="S46" s="11">
        <v>0</v>
      </c>
      <c r="T46" s="11">
        <v>6</v>
      </c>
      <c r="U46" s="11">
        <v>6</v>
      </c>
      <c r="V46" s="11">
        <v>0</v>
      </c>
      <c r="W46" s="11">
        <v>1</v>
      </c>
      <c r="X46" s="5">
        <f t="shared" si="3"/>
        <v>30</v>
      </c>
      <c r="Y46" s="11" t="s">
        <v>289</v>
      </c>
      <c r="Z46" s="11">
        <v>11</v>
      </c>
    </row>
    <row r="47" spans="1:26" s="12" customFormat="1" ht="20.100000000000001" customHeight="1" x14ac:dyDescent="0.25">
      <c r="A47" s="13" t="str">
        <f>("103")</f>
        <v>103</v>
      </c>
      <c r="B47" s="14" t="s">
        <v>130</v>
      </c>
      <c r="C47" s="14" t="s">
        <v>124</v>
      </c>
      <c r="D47" s="15" t="s">
        <v>50</v>
      </c>
      <c r="E47" s="14" t="s">
        <v>131</v>
      </c>
      <c r="F47" s="18"/>
      <c r="G47" s="17" t="str">
        <f>("176167")</f>
        <v>176167</v>
      </c>
      <c r="H47" s="15" t="s">
        <v>73</v>
      </c>
      <c r="I47" s="11">
        <v>0</v>
      </c>
      <c r="J47" s="11">
        <v>0</v>
      </c>
      <c r="K47" s="11">
        <v>5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8</v>
      </c>
      <c r="V47" s="11">
        <v>10</v>
      </c>
      <c r="W47" s="11">
        <v>12</v>
      </c>
      <c r="X47" s="5">
        <f t="shared" si="3"/>
        <v>35</v>
      </c>
      <c r="Y47" s="11" t="s">
        <v>290</v>
      </c>
      <c r="Z47" s="11">
        <v>10</v>
      </c>
    </row>
    <row r="48" spans="1:26" s="12" customFormat="1" ht="20.100000000000001" customHeight="1" x14ac:dyDescent="0.25">
      <c r="A48" s="13" t="str">
        <f>("461")</f>
        <v>461</v>
      </c>
      <c r="B48" s="14" t="s">
        <v>239</v>
      </c>
      <c r="C48" s="14" t="s">
        <v>197</v>
      </c>
      <c r="D48" s="15" t="s">
        <v>50</v>
      </c>
      <c r="E48" s="14" t="s">
        <v>240</v>
      </c>
      <c r="F48" s="18"/>
      <c r="G48" s="17" t="str">
        <f>("207386")</f>
        <v>207386</v>
      </c>
      <c r="H48" s="15" t="s">
        <v>0</v>
      </c>
      <c r="I48" s="11">
        <v>6</v>
      </c>
      <c r="J48" s="11">
        <v>1</v>
      </c>
      <c r="K48" s="11">
        <v>15</v>
      </c>
      <c r="L48" s="11">
        <v>5</v>
      </c>
      <c r="M48" s="11">
        <v>5</v>
      </c>
      <c r="N48" s="11">
        <v>6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2</v>
      </c>
      <c r="X48" s="5">
        <f t="shared" si="3"/>
        <v>40</v>
      </c>
      <c r="Y48" s="11" t="s">
        <v>291</v>
      </c>
      <c r="Z48" s="11">
        <v>9</v>
      </c>
    </row>
    <row r="49" spans="1:26" s="12" customFormat="1" ht="20.100000000000001" customHeight="1" x14ac:dyDescent="0.25">
      <c r="A49" s="13" t="str">
        <f>("61")</f>
        <v>61</v>
      </c>
      <c r="B49" s="14" t="s">
        <v>103</v>
      </c>
      <c r="C49" s="14" t="s">
        <v>104</v>
      </c>
      <c r="D49" s="15" t="s">
        <v>50</v>
      </c>
      <c r="E49" s="14" t="s">
        <v>105</v>
      </c>
      <c r="F49" s="18"/>
      <c r="G49" s="17" t="str">
        <f>("27425")</f>
        <v>27425</v>
      </c>
      <c r="H49" s="15" t="s">
        <v>0</v>
      </c>
      <c r="I49" s="11">
        <v>6</v>
      </c>
      <c r="J49" s="11">
        <v>1</v>
      </c>
      <c r="K49" s="11">
        <v>8</v>
      </c>
      <c r="L49" s="11">
        <v>3</v>
      </c>
      <c r="M49" s="11">
        <v>0</v>
      </c>
      <c r="N49" s="11">
        <v>3</v>
      </c>
      <c r="O49" s="11">
        <v>0</v>
      </c>
      <c r="P49" s="11">
        <v>0</v>
      </c>
      <c r="Q49" s="11">
        <v>11</v>
      </c>
      <c r="R49" s="11">
        <v>2</v>
      </c>
      <c r="S49" s="11">
        <v>0</v>
      </c>
      <c r="T49" s="11">
        <v>0</v>
      </c>
      <c r="U49" s="11">
        <v>2</v>
      </c>
      <c r="V49" s="11">
        <v>2</v>
      </c>
      <c r="W49" s="11">
        <v>13</v>
      </c>
      <c r="X49" s="5">
        <f t="shared" si="3"/>
        <v>51</v>
      </c>
      <c r="Y49" s="11" t="s">
        <v>292</v>
      </c>
      <c r="Z49" s="11">
        <v>8</v>
      </c>
    </row>
    <row r="50" spans="1:26" s="12" customFormat="1" ht="20.100000000000001" customHeight="1" x14ac:dyDescent="0.25">
      <c r="A50" s="13" t="str">
        <f>("309")</f>
        <v>309</v>
      </c>
      <c r="B50" s="14" t="s">
        <v>199</v>
      </c>
      <c r="C50" s="14" t="s">
        <v>200</v>
      </c>
      <c r="D50" s="15" t="s">
        <v>50</v>
      </c>
      <c r="E50" s="14" t="s">
        <v>201</v>
      </c>
      <c r="F50" s="18"/>
      <c r="G50" s="17" t="str">
        <f>("177124")</f>
        <v>177124</v>
      </c>
      <c r="H50" s="15" t="s">
        <v>55</v>
      </c>
      <c r="I50" s="11">
        <v>11</v>
      </c>
      <c r="J50" s="11">
        <v>0</v>
      </c>
      <c r="K50" s="11">
        <v>15</v>
      </c>
      <c r="L50" s="11">
        <v>0</v>
      </c>
      <c r="M50" s="11">
        <v>0</v>
      </c>
      <c r="N50" s="11">
        <v>0</v>
      </c>
      <c r="O50" s="11">
        <v>3</v>
      </c>
      <c r="P50" s="11">
        <v>1</v>
      </c>
      <c r="Q50" s="11">
        <v>1</v>
      </c>
      <c r="R50" s="11">
        <v>0</v>
      </c>
      <c r="S50" s="11">
        <v>0</v>
      </c>
      <c r="T50" s="11">
        <v>1</v>
      </c>
      <c r="U50" s="11">
        <v>11</v>
      </c>
      <c r="V50" s="11">
        <v>8</v>
      </c>
      <c r="W50" s="11">
        <v>0</v>
      </c>
      <c r="X50" s="5">
        <f t="shared" si="3"/>
        <v>51</v>
      </c>
      <c r="Y50" s="11" t="s">
        <v>293</v>
      </c>
      <c r="Z50" s="11">
        <v>7</v>
      </c>
    </row>
    <row r="51" spans="1:26" s="12" customFormat="1" ht="20.100000000000001" customHeight="1" x14ac:dyDescent="0.25">
      <c r="A51" s="13" t="str">
        <f>("11")</f>
        <v>11</v>
      </c>
      <c r="B51" s="14" t="s">
        <v>48</v>
      </c>
      <c r="C51" s="14" t="s">
        <v>49</v>
      </c>
      <c r="D51" s="15" t="s">
        <v>50</v>
      </c>
      <c r="E51" s="14" t="s">
        <v>51</v>
      </c>
      <c r="F51" s="18"/>
      <c r="G51" s="17" t="str">
        <f>("186048")</f>
        <v>186048</v>
      </c>
      <c r="H51" s="15" t="s">
        <v>0</v>
      </c>
      <c r="I51" s="11">
        <v>7</v>
      </c>
      <c r="J51" s="11">
        <v>2</v>
      </c>
      <c r="K51" s="11">
        <v>10</v>
      </c>
      <c r="L51" s="11">
        <v>2</v>
      </c>
      <c r="M51" s="11">
        <v>0</v>
      </c>
      <c r="N51" s="11">
        <v>1</v>
      </c>
      <c r="O51" s="11">
        <v>0</v>
      </c>
      <c r="P51" s="11">
        <v>1</v>
      </c>
      <c r="Q51" s="11">
        <v>5</v>
      </c>
      <c r="R51" s="11">
        <v>5</v>
      </c>
      <c r="S51" s="11">
        <v>0</v>
      </c>
      <c r="T51" s="11">
        <v>0</v>
      </c>
      <c r="U51" s="11">
        <v>2</v>
      </c>
      <c r="V51" s="11">
        <v>15</v>
      </c>
      <c r="W51" s="11">
        <v>15</v>
      </c>
      <c r="X51" s="5">
        <f t="shared" si="3"/>
        <v>65</v>
      </c>
      <c r="Y51" s="11" t="s">
        <v>294</v>
      </c>
      <c r="Z51" s="11">
        <v>6</v>
      </c>
    </row>
    <row r="52" spans="1:26" s="12" customFormat="1" ht="20.100000000000001" customHeight="1" x14ac:dyDescent="0.25">
      <c r="A52" s="13" t="str">
        <f>("490")</f>
        <v>490</v>
      </c>
      <c r="B52" s="14" t="s">
        <v>243</v>
      </c>
      <c r="C52" s="14" t="s">
        <v>113</v>
      </c>
      <c r="D52" s="15" t="s">
        <v>50</v>
      </c>
      <c r="E52" s="14" t="s">
        <v>244</v>
      </c>
      <c r="F52" s="18"/>
      <c r="G52" s="17" t="str">
        <f>("201198")</f>
        <v>201198</v>
      </c>
      <c r="H52" s="15" t="s">
        <v>116</v>
      </c>
      <c r="I52" s="11">
        <v>5</v>
      </c>
      <c r="J52" s="11">
        <v>1</v>
      </c>
      <c r="K52" s="11">
        <v>13</v>
      </c>
      <c r="L52" s="11">
        <v>3</v>
      </c>
      <c r="M52" s="11">
        <v>8</v>
      </c>
      <c r="N52" s="11">
        <v>13</v>
      </c>
      <c r="O52" s="11">
        <v>2</v>
      </c>
      <c r="P52" s="11">
        <v>0</v>
      </c>
      <c r="Q52" s="11">
        <v>8</v>
      </c>
      <c r="R52" s="11">
        <v>0</v>
      </c>
      <c r="S52" s="11">
        <v>0</v>
      </c>
      <c r="T52" s="11">
        <v>3</v>
      </c>
      <c r="U52" s="11">
        <v>0</v>
      </c>
      <c r="V52" s="11">
        <v>10</v>
      </c>
      <c r="W52" s="11">
        <v>8</v>
      </c>
      <c r="X52" s="5">
        <f t="shared" si="3"/>
        <v>74</v>
      </c>
      <c r="Y52" s="11" t="s">
        <v>295</v>
      </c>
      <c r="Z52" s="11">
        <v>5</v>
      </c>
    </row>
    <row r="53" spans="1:26" s="12" customFormat="1" ht="20.100000000000001" customHeight="1" x14ac:dyDescent="0.25">
      <c r="A53" s="13" t="str">
        <f>("434")</f>
        <v>434</v>
      </c>
      <c r="B53" s="14" t="s">
        <v>231</v>
      </c>
      <c r="C53" s="14" t="s">
        <v>232</v>
      </c>
      <c r="D53" s="15" t="s">
        <v>50</v>
      </c>
      <c r="E53" s="14" t="s">
        <v>233</v>
      </c>
      <c r="F53" s="18"/>
      <c r="G53" s="17" t="str">
        <f>("186529")</f>
        <v>186529</v>
      </c>
      <c r="H53" s="15" t="s">
        <v>0</v>
      </c>
      <c r="I53" s="11">
        <v>3</v>
      </c>
      <c r="J53" s="11">
        <v>5</v>
      </c>
      <c r="K53" s="11">
        <v>11</v>
      </c>
      <c r="L53" s="11">
        <v>5</v>
      </c>
      <c r="M53" s="11">
        <v>5</v>
      </c>
      <c r="N53" s="11">
        <v>5</v>
      </c>
      <c r="O53" s="11">
        <v>6</v>
      </c>
      <c r="P53" s="11">
        <v>3</v>
      </c>
      <c r="Q53" s="11">
        <v>3</v>
      </c>
      <c r="R53" s="11">
        <v>10</v>
      </c>
      <c r="S53" s="11">
        <v>1</v>
      </c>
      <c r="T53" s="11">
        <v>8</v>
      </c>
      <c r="U53" s="11">
        <v>2</v>
      </c>
      <c r="V53" s="11">
        <v>15</v>
      </c>
      <c r="W53" s="11">
        <v>13</v>
      </c>
      <c r="X53" s="5">
        <f t="shared" si="3"/>
        <v>95</v>
      </c>
      <c r="Y53" s="11" t="s">
        <v>296</v>
      </c>
      <c r="Z53" s="11">
        <v>4</v>
      </c>
    </row>
    <row r="54" spans="1:26" s="12" customFormat="1" ht="20.100000000000001" customHeight="1" x14ac:dyDescent="0.25">
      <c r="A54" s="13" t="str">
        <f>("389")</f>
        <v>389</v>
      </c>
      <c r="B54" s="14" t="s">
        <v>213</v>
      </c>
      <c r="C54" s="14" t="s">
        <v>214</v>
      </c>
      <c r="D54" s="15" t="s">
        <v>50</v>
      </c>
      <c r="E54" s="14" t="s">
        <v>144</v>
      </c>
      <c r="F54" s="18"/>
      <c r="G54" s="17" t="str">
        <f>("203913")</f>
        <v>203913</v>
      </c>
      <c r="H54" s="15" t="s">
        <v>0</v>
      </c>
      <c r="I54" s="11" t="s">
        <v>283</v>
      </c>
      <c r="J54" s="11" t="s">
        <v>283</v>
      </c>
      <c r="K54" s="11" t="s">
        <v>283</v>
      </c>
      <c r="L54" s="11" t="s">
        <v>283</v>
      </c>
      <c r="M54" s="11" t="s">
        <v>283</v>
      </c>
      <c r="N54" s="11" t="s">
        <v>283</v>
      </c>
      <c r="O54" s="11" t="s">
        <v>283</v>
      </c>
      <c r="P54" s="11" t="s">
        <v>283</v>
      </c>
      <c r="Q54" s="11" t="s">
        <v>283</v>
      </c>
      <c r="R54" s="11" t="s">
        <v>283</v>
      </c>
      <c r="S54" s="11" t="s">
        <v>283</v>
      </c>
      <c r="T54" s="11" t="s">
        <v>283</v>
      </c>
      <c r="U54" s="11" t="s">
        <v>283</v>
      </c>
      <c r="V54" s="11" t="s">
        <v>283</v>
      </c>
      <c r="W54" s="11" t="s">
        <v>283</v>
      </c>
      <c r="X54" s="5" t="s">
        <v>283</v>
      </c>
      <c r="Y54" s="11" t="s">
        <v>283</v>
      </c>
      <c r="Z54" s="11">
        <v>0</v>
      </c>
    </row>
    <row r="55" spans="1:26" s="12" customFormat="1" ht="20.100000000000001" customHeight="1" x14ac:dyDescent="0.25">
      <c r="A55" s="13" t="str">
        <f>("29")</f>
        <v>29</v>
      </c>
      <c r="B55" s="14" t="s">
        <v>76</v>
      </c>
      <c r="C55" s="14" t="s">
        <v>77</v>
      </c>
      <c r="D55" s="15" t="s">
        <v>50</v>
      </c>
      <c r="E55" s="14" t="s">
        <v>78</v>
      </c>
      <c r="F55" s="18"/>
      <c r="G55" s="17" t="str">
        <f>("191463")</f>
        <v>191463</v>
      </c>
      <c r="H55" s="15" t="s">
        <v>0</v>
      </c>
      <c r="I55" s="11" t="s">
        <v>283</v>
      </c>
      <c r="J55" s="11" t="s">
        <v>283</v>
      </c>
      <c r="K55" s="11" t="s">
        <v>283</v>
      </c>
      <c r="L55" s="11" t="s">
        <v>283</v>
      </c>
      <c r="M55" s="11" t="s">
        <v>283</v>
      </c>
      <c r="N55" s="11" t="s">
        <v>283</v>
      </c>
      <c r="O55" s="11" t="s">
        <v>283</v>
      </c>
      <c r="P55" s="11" t="s">
        <v>283</v>
      </c>
      <c r="Q55" s="11" t="s">
        <v>283</v>
      </c>
      <c r="R55" s="11" t="s">
        <v>283</v>
      </c>
      <c r="S55" s="11" t="s">
        <v>283</v>
      </c>
      <c r="T55" s="11" t="s">
        <v>283</v>
      </c>
      <c r="U55" s="11" t="s">
        <v>283</v>
      </c>
      <c r="V55" s="11" t="s">
        <v>283</v>
      </c>
      <c r="W55" s="11" t="s">
        <v>283</v>
      </c>
      <c r="X55" s="5" t="s">
        <v>283</v>
      </c>
      <c r="Y55" s="11" t="s">
        <v>283</v>
      </c>
      <c r="Z55" s="11">
        <v>0</v>
      </c>
    </row>
    <row r="56" spans="1:26" s="12" customFormat="1" ht="20.100000000000001" customHeight="1" x14ac:dyDescent="0.25">
      <c r="A56" s="13" t="str">
        <f>("489")</f>
        <v>489</v>
      </c>
      <c r="B56" s="14" t="s">
        <v>163</v>
      </c>
      <c r="C56" s="14" t="s">
        <v>241</v>
      </c>
      <c r="D56" s="15" t="s">
        <v>50</v>
      </c>
      <c r="E56" s="14" t="s">
        <v>242</v>
      </c>
      <c r="F56" s="18"/>
      <c r="G56" s="17" t="str">
        <f>("196982")</f>
        <v>196982</v>
      </c>
      <c r="H56" s="15" t="s">
        <v>116</v>
      </c>
      <c r="I56" s="11" t="s">
        <v>283</v>
      </c>
      <c r="J56" s="11" t="s">
        <v>283</v>
      </c>
      <c r="K56" s="11" t="s">
        <v>283</v>
      </c>
      <c r="L56" s="11" t="s">
        <v>283</v>
      </c>
      <c r="M56" s="11" t="s">
        <v>283</v>
      </c>
      <c r="N56" s="11" t="s">
        <v>283</v>
      </c>
      <c r="O56" s="11" t="s">
        <v>283</v>
      </c>
      <c r="P56" s="11" t="s">
        <v>283</v>
      </c>
      <c r="Q56" s="11" t="s">
        <v>283</v>
      </c>
      <c r="R56" s="11" t="s">
        <v>283</v>
      </c>
      <c r="S56" s="11" t="s">
        <v>283</v>
      </c>
      <c r="T56" s="11" t="s">
        <v>283</v>
      </c>
      <c r="U56" s="11" t="s">
        <v>283</v>
      </c>
      <c r="V56" s="11" t="s">
        <v>283</v>
      </c>
      <c r="W56" s="11" t="s">
        <v>283</v>
      </c>
      <c r="X56" s="5" t="s">
        <v>283</v>
      </c>
      <c r="Y56" s="11" t="s">
        <v>283</v>
      </c>
      <c r="Z56" s="11">
        <v>0</v>
      </c>
    </row>
    <row r="57" spans="1:26" s="12" customFormat="1" ht="20.100000000000001" customHeight="1" x14ac:dyDescent="0.25">
      <c r="A57" s="34"/>
      <c r="B57" s="36"/>
      <c r="C57" s="36"/>
      <c r="D57" s="38"/>
      <c r="E57" s="36"/>
      <c r="F57" s="46"/>
      <c r="G57" s="42"/>
      <c r="H57" s="38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5"/>
      <c r="Y57" s="31"/>
      <c r="Z57" s="31"/>
    </row>
    <row r="58" spans="1:26" s="12" customFormat="1" ht="20.100000000000001" customHeight="1" x14ac:dyDescent="0.25">
      <c r="A58" s="13" t="str">
        <f>("2")</f>
        <v>2</v>
      </c>
      <c r="B58" s="14" t="s">
        <v>35</v>
      </c>
      <c r="C58" s="14" t="s">
        <v>36</v>
      </c>
      <c r="D58" s="15" t="s">
        <v>37</v>
      </c>
      <c r="E58" s="14" t="s">
        <v>38</v>
      </c>
      <c r="F58" s="16" t="s">
        <v>39</v>
      </c>
      <c r="G58" s="17" t="str">
        <f>("82974")</f>
        <v>82974</v>
      </c>
      <c r="H58" s="15" t="s">
        <v>0</v>
      </c>
      <c r="I58" s="11">
        <v>8</v>
      </c>
      <c r="J58" s="11">
        <v>0</v>
      </c>
      <c r="K58" s="11">
        <v>0</v>
      </c>
      <c r="L58" s="11">
        <v>3</v>
      </c>
      <c r="M58" s="11">
        <v>2</v>
      </c>
      <c r="N58" s="11">
        <v>0</v>
      </c>
      <c r="O58" s="11">
        <v>1</v>
      </c>
      <c r="P58" s="11">
        <v>3</v>
      </c>
      <c r="Q58" s="11">
        <v>2</v>
      </c>
      <c r="R58" s="11">
        <v>0</v>
      </c>
      <c r="S58" s="11">
        <v>0</v>
      </c>
      <c r="T58" s="11">
        <v>0</v>
      </c>
      <c r="U58" s="11">
        <v>13</v>
      </c>
      <c r="V58" s="11">
        <v>7</v>
      </c>
      <c r="W58" s="11">
        <v>10</v>
      </c>
      <c r="X58" s="5">
        <f>SUM(I58:W58)</f>
        <v>49</v>
      </c>
      <c r="Y58" s="11" t="s">
        <v>285</v>
      </c>
      <c r="Z58" s="11">
        <v>20</v>
      </c>
    </row>
    <row r="59" spans="1:26" s="12" customFormat="1" ht="20.100000000000001" customHeight="1" x14ac:dyDescent="0.25">
      <c r="A59" s="13" t="str">
        <f>("259")</f>
        <v>259</v>
      </c>
      <c r="B59" s="14" t="s">
        <v>189</v>
      </c>
      <c r="C59" s="14" t="s">
        <v>190</v>
      </c>
      <c r="D59" s="15" t="s">
        <v>37</v>
      </c>
      <c r="E59" s="14" t="s">
        <v>34</v>
      </c>
      <c r="F59" s="16" t="s">
        <v>39</v>
      </c>
      <c r="G59" s="17" t="str">
        <f>("164401")</f>
        <v>164401</v>
      </c>
      <c r="H59" s="15" t="s">
        <v>126</v>
      </c>
      <c r="I59" s="11">
        <v>7</v>
      </c>
      <c r="J59" s="11">
        <v>1</v>
      </c>
      <c r="K59" s="11">
        <v>0</v>
      </c>
      <c r="L59" s="11">
        <v>13</v>
      </c>
      <c r="M59" s="11">
        <v>1</v>
      </c>
      <c r="N59" s="11">
        <v>4</v>
      </c>
      <c r="O59" s="11">
        <v>1</v>
      </c>
      <c r="P59" s="11">
        <v>10</v>
      </c>
      <c r="Q59" s="11">
        <v>3</v>
      </c>
      <c r="R59" s="11">
        <v>11</v>
      </c>
      <c r="S59" s="11">
        <v>9</v>
      </c>
      <c r="T59" s="11">
        <v>1</v>
      </c>
      <c r="U59" s="11">
        <v>15</v>
      </c>
      <c r="V59" s="11">
        <v>13</v>
      </c>
      <c r="W59" s="11">
        <v>15</v>
      </c>
      <c r="X59" s="5">
        <f>SUM(I59:W59)</f>
        <v>104</v>
      </c>
      <c r="Y59" s="11" t="s">
        <v>286</v>
      </c>
      <c r="Z59" s="47">
        <v>17</v>
      </c>
    </row>
    <row r="60" spans="1:26" s="12" customFormat="1" ht="20.100000000000001" customHeight="1" x14ac:dyDescent="0.25">
      <c r="A60" s="13"/>
      <c r="B60" s="14"/>
      <c r="C60" s="14"/>
      <c r="D60" s="15"/>
      <c r="E60" s="14"/>
      <c r="F60" s="16"/>
      <c r="G60" s="17"/>
      <c r="H60" s="15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5"/>
      <c r="Y60" s="11"/>
      <c r="Z60" s="11"/>
    </row>
    <row r="61" spans="1:26" s="12" customFormat="1" ht="20.100000000000001" customHeight="1" x14ac:dyDescent="0.25">
      <c r="A61" s="34">
        <v>809</v>
      </c>
      <c r="B61" s="36" t="s">
        <v>273</v>
      </c>
      <c r="C61" s="36" t="s">
        <v>274</v>
      </c>
      <c r="D61" s="15" t="s">
        <v>33</v>
      </c>
      <c r="E61" s="36" t="s">
        <v>34</v>
      </c>
      <c r="F61" s="18"/>
      <c r="G61" s="42">
        <v>132325</v>
      </c>
      <c r="H61" s="38" t="s">
        <v>154</v>
      </c>
      <c r="I61" s="31">
        <v>0</v>
      </c>
      <c r="J61" s="31">
        <v>1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3</v>
      </c>
      <c r="V61" s="31">
        <v>0</v>
      </c>
      <c r="W61" s="31">
        <v>0</v>
      </c>
      <c r="X61" s="5">
        <f t="shared" ref="X61:X66" si="4">SUM(I61:W61)</f>
        <v>4</v>
      </c>
      <c r="Y61" s="11" t="s">
        <v>285</v>
      </c>
      <c r="Z61" s="11">
        <v>20</v>
      </c>
    </row>
    <row r="62" spans="1:26" s="12" customFormat="1" ht="20.100000000000001" customHeight="1" x14ac:dyDescent="0.25">
      <c r="A62" s="13" t="str">
        <f>("500")</f>
        <v>500</v>
      </c>
      <c r="B62" s="14" t="s">
        <v>245</v>
      </c>
      <c r="C62" s="14" t="s">
        <v>246</v>
      </c>
      <c r="D62" s="15" t="s">
        <v>33</v>
      </c>
      <c r="E62" s="14" t="s">
        <v>247</v>
      </c>
      <c r="F62" s="18"/>
      <c r="G62" s="17" t="str">
        <f>("10955")</f>
        <v>10955</v>
      </c>
      <c r="H62" s="15" t="s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5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6</v>
      </c>
      <c r="W62" s="11">
        <v>8</v>
      </c>
      <c r="X62" s="5">
        <f t="shared" si="4"/>
        <v>19</v>
      </c>
      <c r="Y62" s="11" t="s">
        <v>286</v>
      </c>
      <c r="Z62" s="47">
        <v>17</v>
      </c>
    </row>
    <row r="63" spans="1:26" s="12" customFormat="1" ht="20.100000000000001" customHeight="1" x14ac:dyDescent="0.25">
      <c r="A63" s="13" t="str">
        <f>("415")</f>
        <v>415</v>
      </c>
      <c r="B63" s="14" t="s">
        <v>103</v>
      </c>
      <c r="C63" s="14" t="s">
        <v>226</v>
      </c>
      <c r="D63" s="15" t="s">
        <v>33</v>
      </c>
      <c r="E63" s="14" t="s">
        <v>227</v>
      </c>
      <c r="F63" s="18"/>
      <c r="G63" s="17" t="str">
        <f>("18561")</f>
        <v>18561</v>
      </c>
      <c r="H63" s="15" t="s">
        <v>228</v>
      </c>
      <c r="I63" s="11">
        <v>6</v>
      </c>
      <c r="J63" s="11">
        <v>0</v>
      </c>
      <c r="K63" s="11">
        <v>5</v>
      </c>
      <c r="L63" s="11">
        <v>0</v>
      </c>
      <c r="M63" s="11">
        <v>2</v>
      </c>
      <c r="N63" s="11">
        <v>5</v>
      </c>
      <c r="O63" s="11">
        <v>0</v>
      </c>
      <c r="P63" s="11">
        <v>1</v>
      </c>
      <c r="Q63" s="11">
        <v>5</v>
      </c>
      <c r="R63" s="11">
        <v>0</v>
      </c>
      <c r="S63" s="11">
        <v>0</v>
      </c>
      <c r="T63" s="11">
        <v>0</v>
      </c>
      <c r="U63" s="11">
        <v>6</v>
      </c>
      <c r="V63" s="11">
        <v>2</v>
      </c>
      <c r="W63" s="11">
        <v>3</v>
      </c>
      <c r="X63" s="5">
        <f t="shared" si="4"/>
        <v>35</v>
      </c>
      <c r="Y63" s="11" t="s">
        <v>287</v>
      </c>
      <c r="Z63" s="11">
        <v>15</v>
      </c>
    </row>
    <row r="64" spans="1:26" s="12" customFormat="1" ht="20.100000000000001" customHeight="1" x14ac:dyDescent="0.25">
      <c r="A64" s="13" t="str">
        <f>("24")</f>
        <v>24</v>
      </c>
      <c r="B64" s="14" t="s">
        <v>70</v>
      </c>
      <c r="C64" s="14" t="s">
        <v>71</v>
      </c>
      <c r="D64" s="15" t="s">
        <v>33</v>
      </c>
      <c r="E64" s="14" t="s">
        <v>72</v>
      </c>
      <c r="F64" s="18"/>
      <c r="G64" s="17" t="str">
        <f>("177394")</f>
        <v>177394</v>
      </c>
      <c r="H64" s="15" t="s">
        <v>73</v>
      </c>
      <c r="I64" s="11">
        <v>2</v>
      </c>
      <c r="J64" s="11">
        <v>0</v>
      </c>
      <c r="K64" s="11">
        <v>5</v>
      </c>
      <c r="L64" s="11">
        <v>0</v>
      </c>
      <c r="M64" s="11">
        <v>0</v>
      </c>
      <c r="N64" s="11">
        <v>5</v>
      </c>
      <c r="O64" s="11">
        <v>1</v>
      </c>
      <c r="P64" s="11">
        <v>0</v>
      </c>
      <c r="Q64" s="11">
        <v>4</v>
      </c>
      <c r="R64" s="11">
        <v>0</v>
      </c>
      <c r="S64" s="11">
        <v>0</v>
      </c>
      <c r="T64" s="11">
        <v>6</v>
      </c>
      <c r="U64" s="11">
        <v>0</v>
      </c>
      <c r="V64" s="11">
        <v>15</v>
      </c>
      <c r="W64" s="11">
        <v>15</v>
      </c>
      <c r="X64" s="5">
        <f t="shared" si="4"/>
        <v>53</v>
      </c>
      <c r="Y64" s="11" t="s">
        <v>288</v>
      </c>
      <c r="Z64" s="11">
        <v>13</v>
      </c>
    </row>
    <row r="65" spans="1:26" s="12" customFormat="1" ht="20.100000000000001" customHeight="1" x14ac:dyDescent="0.25">
      <c r="A65" s="13" t="str">
        <f>("15")</f>
        <v>15</v>
      </c>
      <c r="B65" s="14" t="s">
        <v>52</v>
      </c>
      <c r="C65" s="14" t="s">
        <v>36</v>
      </c>
      <c r="D65" s="15" t="s">
        <v>33</v>
      </c>
      <c r="E65" s="14" t="s">
        <v>34</v>
      </c>
      <c r="F65" s="18"/>
      <c r="G65" s="17" t="str">
        <f>("12857")</f>
        <v>12857</v>
      </c>
      <c r="H65" s="15" t="s">
        <v>0</v>
      </c>
      <c r="I65" s="11">
        <v>6</v>
      </c>
      <c r="J65" s="11">
        <v>0</v>
      </c>
      <c r="K65" s="11">
        <v>15</v>
      </c>
      <c r="L65" s="11">
        <v>5</v>
      </c>
      <c r="M65" s="11">
        <v>5</v>
      </c>
      <c r="N65" s="11">
        <v>5</v>
      </c>
      <c r="O65" s="11">
        <v>0</v>
      </c>
      <c r="P65" s="11">
        <v>0</v>
      </c>
      <c r="Q65" s="11">
        <v>13</v>
      </c>
      <c r="R65" s="11">
        <v>0</v>
      </c>
      <c r="S65" s="11">
        <v>0</v>
      </c>
      <c r="T65" s="11">
        <v>0</v>
      </c>
      <c r="U65" s="11">
        <v>6</v>
      </c>
      <c r="V65" s="11">
        <v>0</v>
      </c>
      <c r="W65" s="11">
        <v>4</v>
      </c>
      <c r="X65" s="5">
        <f t="shared" si="4"/>
        <v>59</v>
      </c>
      <c r="Y65" s="11" t="s">
        <v>289</v>
      </c>
      <c r="Z65" s="11">
        <v>11</v>
      </c>
    </row>
    <row r="66" spans="1:26" s="12" customFormat="1" ht="20.100000000000001" customHeight="1" x14ac:dyDescent="0.25">
      <c r="A66" s="34">
        <v>810</v>
      </c>
      <c r="B66" s="14" t="s">
        <v>53</v>
      </c>
      <c r="C66" s="14" t="s">
        <v>275</v>
      </c>
      <c r="D66" s="15" t="s">
        <v>33</v>
      </c>
      <c r="E66" s="14" t="s">
        <v>276</v>
      </c>
      <c r="F66" s="33"/>
      <c r="G66" s="42">
        <v>156109</v>
      </c>
      <c r="H66" s="38" t="s">
        <v>0</v>
      </c>
      <c r="I66" s="31">
        <v>10</v>
      </c>
      <c r="J66" s="31">
        <v>0</v>
      </c>
      <c r="K66" s="31">
        <v>12</v>
      </c>
      <c r="L66" s="31">
        <v>10</v>
      </c>
      <c r="M66" s="31">
        <v>1</v>
      </c>
      <c r="N66" s="31">
        <v>9</v>
      </c>
      <c r="O66" s="31">
        <v>1</v>
      </c>
      <c r="P66" s="31">
        <v>0</v>
      </c>
      <c r="Q66" s="31">
        <v>8</v>
      </c>
      <c r="R66" s="31">
        <v>0</v>
      </c>
      <c r="S66" s="31">
        <v>0</v>
      </c>
      <c r="T66" s="31">
        <v>0</v>
      </c>
      <c r="U66" s="31">
        <v>1</v>
      </c>
      <c r="V66" s="31">
        <v>5</v>
      </c>
      <c r="W66" s="31">
        <v>10</v>
      </c>
      <c r="X66" s="5">
        <f t="shared" si="4"/>
        <v>67</v>
      </c>
      <c r="Y66" s="11" t="s">
        <v>290</v>
      </c>
      <c r="Z66" s="11">
        <v>10</v>
      </c>
    </row>
    <row r="67" spans="1:26" s="12" customFormat="1" ht="20.100000000000001" customHeight="1" x14ac:dyDescent="0.25">
      <c r="A67" s="13" t="str">
        <f>("1")</f>
        <v>1</v>
      </c>
      <c r="B67" s="14" t="s">
        <v>31</v>
      </c>
      <c r="C67" s="14" t="s">
        <v>32</v>
      </c>
      <c r="D67" s="15" t="s">
        <v>33</v>
      </c>
      <c r="E67" s="14" t="s">
        <v>34</v>
      </c>
      <c r="F67" s="18"/>
      <c r="G67" s="17" t="str">
        <f>("49772")</f>
        <v>49772</v>
      </c>
      <c r="H67" s="15" t="s">
        <v>0</v>
      </c>
      <c r="I67" s="11" t="s">
        <v>283</v>
      </c>
      <c r="J67" s="11" t="s">
        <v>283</v>
      </c>
      <c r="K67" s="11" t="s">
        <v>283</v>
      </c>
      <c r="L67" s="11" t="s">
        <v>283</v>
      </c>
      <c r="M67" s="11" t="s">
        <v>283</v>
      </c>
      <c r="N67" s="11" t="s">
        <v>283</v>
      </c>
      <c r="O67" s="11" t="s">
        <v>283</v>
      </c>
      <c r="P67" s="11" t="s">
        <v>283</v>
      </c>
      <c r="Q67" s="11" t="s">
        <v>283</v>
      </c>
      <c r="R67" s="11" t="s">
        <v>283</v>
      </c>
      <c r="S67" s="11" t="s">
        <v>283</v>
      </c>
      <c r="T67" s="11" t="s">
        <v>283</v>
      </c>
      <c r="U67" s="11" t="s">
        <v>283</v>
      </c>
      <c r="V67" s="11" t="s">
        <v>283</v>
      </c>
      <c r="W67" s="11" t="s">
        <v>283</v>
      </c>
      <c r="X67" s="5" t="s">
        <v>283</v>
      </c>
      <c r="Y67" s="11" t="s">
        <v>283</v>
      </c>
      <c r="Z67" s="11">
        <v>0</v>
      </c>
    </row>
    <row r="68" spans="1:26" s="12" customFormat="1" ht="20.100000000000001" customHeight="1" x14ac:dyDescent="0.25">
      <c r="A68" s="13" t="str">
        <f>("390")</f>
        <v>390</v>
      </c>
      <c r="B68" s="14" t="s">
        <v>217</v>
      </c>
      <c r="C68" s="14" t="s">
        <v>218</v>
      </c>
      <c r="D68" s="15" t="s">
        <v>33</v>
      </c>
      <c r="E68" s="14" t="s">
        <v>219</v>
      </c>
      <c r="F68" s="18"/>
      <c r="G68" s="17" t="str">
        <f>("74296")</f>
        <v>74296</v>
      </c>
      <c r="H68" s="15" t="s">
        <v>220</v>
      </c>
      <c r="I68" s="11" t="s">
        <v>283</v>
      </c>
      <c r="J68" s="11" t="s">
        <v>283</v>
      </c>
      <c r="K68" s="11" t="s">
        <v>283</v>
      </c>
      <c r="L68" s="11" t="s">
        <v>283</v>
      </c>
      <c r="M68" s="11" t="s">
        <v>283</v>
      </c>
      <c r="N68" s="11" t="s">
        <v>283</v>
      </c>
      <c r="O68" s="11" t="s">
        <v>283</v>
      </c>
      <c r="P68" s="11" t="s">
        <v>283</v>
      </c>
      <c r="Q68" s="11" t="s">
        <v>283</v>
      </c>
      <c r="R68" s="11" t="s">
        <v>283</v>
      </c>
      <c r="S68" s="11" t="s">
        <v>283</v>
      </c>
      <c r="T68" s="11" t="s">
        <v>283</v>
      </c>
      <c r="U68" s="11" t="s">
        <v>283</v>
      </c>
      <c r="V68" s="11" t="s">
        <v>283</v>
      </c>
      <c r="W68" s="11" t="s">
        <v>283</v>
      </c>
      <c r="X68" s="5" t="s">
        <v>283</v>
      </c>
      <c r="Y68" s="11" t="s">
        <v>283</v>
      </c>
      <c r="Z68" s="11">
        <v>0</v>
      </c>
    </row>
    <row r="69" spans="1:26" s="12" customFormat="1" ht="20.100000000000001" customHeight="1" x14ac:dyDescent="0.25">
      <c r="A69" s="13" t="str">
        <f>("800")</f>
        <v>800</v>
      </c>
      <c r="B69" s="14" t="s">
        <v>145</v>
      </c>
      <c r="C69" s="14" t="s">
        <v>257</v>
      </c>
      <c r="D69" s="15" t="s">
        <v>33</v>
      </c>
      <c r="E69" s="14" t="s">
        <v>258</v>
      </c>
      <c r="F69" s="18"/>
      <c r="G69" s="17" t="str">
        <f>("148893")</f>
        <v>148893</v>
      </c>
      <c r="H69" s="15" t="s">
        <v>259</v>
      </c>
      <c r="I69" s="11" t="s">
        <v>283</v>
      </c>
      <c r="J69" s="11" t="s">
        <v>283</v>
      </c>
      <c r="K69" s="11" t="s">
        <v>283</v>
      </c>
      <c r="L69" s="11" t="s">
        <v>283</v>
      </c>
      <c r="M69" s="11" t="s">
        <v>283</v>
      </c>
      <c r="N69" s="11" t="s">
        <v>283</v>
      </c>
      <c r="O69" s="11" t="s">
        <v>283</v>
      </c>
      <c r="P69" s="11" t="s">
        <v>283</v>
      </c>
      <c r="Q69" s="11" t="s">
        <v>283</v>
      </c>
      <c r="R69" s="11" t="s">
        <v>283</v>
      </c>
      <c r="S69" s="11" t="s">
        <v>283</v>
      </c>
      <c r="T69" s="11" t="s">
        <v>283</v>
      </c>
      <c r="U69" s="11" t="s">
        <v>283</v>
      </c>
      <c r="V69" s="11" t="s">
        <v>283</v>
      </c>
      <c r="W69" s="11" t="s">
        <v>283</v>
      </c>
      <c r="X69" s="5" t="s">
        <v>283</v>
      </c>
      <c r="Y69" s="11" t="s">
        <v>283</v>
      </c>
      <c r="Z69" s="11">
        <v>0</v>
      </c>
    </row>
    <row r="70" spans="1:26" s="12" customFormat="1" ht="20.100000000000001" customHeight="1" x14ac:dyDescent="0.25">
      <c r="A70" s="34"/>
      <c r="B70" s="14"/>
      <c r="C70" s="14"/>
      <c r="D70" s="15"/>
      <c r="E70" s="14"/>
      <c r="F70" s="46"/>
      <c r="G70" s="42"/>
      <c r="H70" s="38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5"/>
      <c r="Y70" s="31"/>
      <c r="Z70" s="31"/>
    </row>
    <row r="71" spans="1:26" s="12" customFormat="1" ht="20.100000000000001" customHeight="1" x14ac:dyDescent="0.25">
      <c r="A71" s="13" t="str">
        <f>("123")</f>
        <v>123</v>
      </c>
      <c r="B71" s="14" t="s">
        <v>76</v>
      </c>
      <c r="C71" s="14" t="s">
        <v>137</v>
      </c>
      <c r="D71" s="15" t="s">
        <v>42</v>
      </c>
      <c r="E71" s="14" t="s">
        <v>138</v>
      </c>
      <c r="F71" s="16" t="s">
        <v>39</v>
      </c>
      <c r="G71" s="17" t="str">
        <f>("99863")</f>
        <v>99863</v>
      </c>
      <c r="H71" s="15" t="s">
        <v>0</v>
      </c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1</v>
      </c>
      <c r="V71" s="11">
        <v>5</v>
      </c>
      <c r="W71" s="11">
        <v>6</v>
      </c>
      <c r="X71" s="5">
        <f t="shared" ref="X71:X78" si="5">SUM(I71:W71)</f>
        <v>13</v>
      </c>
      <c r="Y71" s="11" t="s">
        <v>285</v>
      </c>
      <c r="Z71" s="11">
        <v>20</v>
      </c>
    </row>
    <row r="72" spans="1:26" s="12" customFormat="1" ht="20.100000000000001" customHeight="1" x14ac:dyDescent="0.25">
      <c r="A72" s="34">
        <v>811</v>
      </c>
      <c r="B72" s="36" t="s">
        <v>277</v>
      </c>
      <c r="C72" s="36" t="s">
        <v>278</v>
      </c>
      <c r="D72" s="15" t="s">
        <v>42</v>
      </c>
      <c r="E72" s="36" t="s">
        <v>279</v>
      </c>
      <c r="F72" s="16" t="s">
        <v>39</v>
      </c>
      <c r="G72" s="42">
        <v>12434</v>
      </c>
      <c r="H72" s="38" t="s">
        <v>0</v>
      </c>
      <c r="I72" s="31">
        <v>2</v>
      </c>
      <c r="J72" s="31">
        <v>0</v>
      </c>
      <c r="K72" s="31">
        <v>1</v>
      </c>
      <c r="L72" s="31">
        <v>2</v>
      </c>
      <c r="M72" s="31">
        <v>0</v>
      </c>
      <c r="N72" s="31">
        <v>0</v>
      </c>
      <c r="O72" s="31">
        <v>6</v>
      </c>
      <c r="P72" s="31">
        <v>1</v>
      </c>
      <c r="Q72" s="31">
        <v>0</v>
      </c>
      <c r="R72" s="31">
        <v>4</v>
      </c>
      <c r="S72" s="31">
        <v>0</v>
      </c>
      <c r="T72" s="31">
        <v>2</v>
      </c>
      <c r="U72" s="31">
        <v>9</v>
      </c>
      <c r="V72" s="31">
        <v>7</v>
      </c>
      <c r="W72" s="31">
        <v>13</v>
      </c>
      <c r="X72" s="5">
        <f t="shared" si="5"/>
        <v>47</v>
      </c>
      <c r="Y72" s="11" t="s">
        <v>286</v>
      </c>
      <c r="Z72" s="47">
        <v>17</v>
      </c>
    </row>
    <row r="73" spans="1:26" s="12" customFormat="1" ht="20.100000000000001" customHeight="1" x14ac:dyDescent="0.25">
      <c r="A73" s="13" t="str">
        <f>("124")</f>
        <v>124</v>
      </c>
      <c r="B73" s="14" t="s">
        <v>139</v>
      </c>
      <c r="C73" s="14" t="s">
        <v>137</v>
      </c>
      <c r="D73" s="15" t="s">
        <v>42</v>
      </c>
      <c r="E73" s="14" t="s">
        <v>140</v>
      </c>
      <c r="F73" s="16" t="s">
        <v>39</v>
      </c>
      <c r="G73" s="17" t="str">
        <f>("99864")</f>
        <v>99864</v>
      </c>
      <c r="H73" s="15" t="s">
        <v>0</v>
      </c>
      <c r="I73" s="11">
        <v>5</v>
      </c>
      <c r="J73" s="11">
        <v>0</v>
      </c>
      <c r="K73" s="11">
        <v>2</v>
      </c>
      <c r="L73" s="11">
        <v>1</v>
      </c>
      <c r="M73" s="11">
        <v>1</v>
      </c>
      <c r="N73" s="11">
        <v>0</v>
      </c>
      <c r="O73" s="11">
        <v>0</v>
      </c>
      <c r="P73" s="11">
        <v>5</v>
      </c>
      <c r="Q73" s="11">
        <v>1</v>
      </c>
      <c r="R73" s="11">
        <v>0</v>
      </c>
      <c r="S73" s="11">
        <v>1</v>
      </c>
      <c r="T73" s="11">
        <v>0</v>
      </c>
      <c r="U73" s="11">
        <v>13</v>
      </c>
      <c r="V73" s="11">
        <v>9</v>
      </c>
      <c r="W73" s="11">
        <v>11</v>
      </c>
      <c r="X73" s="5">
        <f t="shared" si="5"/>
        <v>49</v>
      </c>
      <c r="Y73" s="11" t="s">
        <v>287</v>
      </c>
      <c r="Z73" s="11">
        <v>15</v>
      </c>
    </row>
    <row r="74" spans="1:26" s="12" customFormat="1" ht="20.100000000000001" customHeight="1" x14ac:dyDescent="0.25">
      <c r="A74" s="13" t="str">
        <f>("167")</f>
        <v>167</v>
      </c>
      <c r="B74" s="14" t="s">
        <v>151</v>
      </c>
      <c r="C74" s="14" t="s">
        <v>152</v>
      </c>
      <c r="D74" s="15" t="s">
        <v>42</v>
      </c>
      <c r="E74" s="14" t="s">
        <v>153</v>
      </c>
      <c r="F74" s="16" t="s">
        <v>39</v>
      </c>
      <c r="G74" s="17" t="str">
        <f>("54364")</f>
        <v>54364</v>
      </c>
      <c r="H74" s="15" t="s">
        <v>154</v>
      </c>
      <c r="I74" s="11">
        <v>5</v>
      </c>
      <c r="J74" s="11">
        <v>0</v>
      </c>
      <c r="K74" s="11">
        <v>15</v>
      </c>
      <c r="L74" s="11">
        <v>5</v>
      </c>
      <c r="M74" s="11">
        <v>0</v>
      </c>
      <c r="N74" s="11">
        <v>5</v>
      </c>
      <c r="O74" s="11">
        <v>0</v>
      </c>
      <c r="P74" s="11">
        <v>1</v>
      </c>
      <c r="Q74" s="11">
        <v>0</v>
      </c>
      <c r="R74" s="11">
        <v>5</v>
      </c>
      <c r="S74" s="11">
        <v>0</v>
      </c>
      <c r="T74" s="11">
        <v>0</v>
      </c>
      <c r="U74" s="11">
        <v>1</v>
      </c>
      <c r="V74" s="11">
        <v>7</v>
      </c>
      <c r="W74" s="11">
        <v>10</v>
      </c>
      <c r="X74" s="5">
        <f t="shared" si="5"/>
        <v>54</v>
      </c>
      <c r="Y74" s="11" t="s">
        <v>288</v>
      </c>
      <c r="Z74" s="11">
        <v>13</v>
      </c>
    </row>
    <row r="75" spans="1:26" s="12" customFormat="1" ht="20.100000000000001" customHeight="1" x14ac:dyDescent="0.25">
      <c r="A75" s="13">
        <v>815</v>
      </c>
      <c r="B75" s="14" t="s">
        <v>215</v>
      </c>
      <c r="C75" s="14" t="s">
        <v>214</v>
      </c>
      <c r="D75" s="15" t="s">
        <v>42</v>
      </c>
      <c r="E75" s="14" t="s">
        <v>216</v>
      </c>
      <c r="F75" s="16" t="s">
        <v>39</v>
      </c>
      <c r="G75" s="17" t="str">
        <f>("61065")</f>
        <v>61065</v>
      </c>
      <c r="H75" s="15" t="s">
        <v>0</v>
      </c>
      <c r="I75" s="11">
        <v>8</v>
      </c>
      <c r="J75" s="11">
        <v>1</v>
      </c>
      <c r="K75" s="11">
        <v>1</v>
      </c>
      <c r="L75" s="11">
        <v>8</v>
      </c>
      <c r="M75" s="11">
        <v>5</v>
      </c>
      <c r="N75" s="11">
        <v>0</v>
      </c>
      <c r="O75" s="11">
        <v>1</v>
      </c>
      <c r="P75" s="11">
        <v>3</v>
      </c>
      <c r="Q75" s="11">
        <v>0</v>
      </c>
      <c r="R75" s="11">
        <v>3</v>
      </c>
      <c r="S75" s="11">
        <v>2</v>
      </c>
      <c r="T75" s="11">
        <v>1</v>
      </c>
      <c r="U75" s="11">
        <v>13</v>
      </c>
      <c r="V75" s="11">
        <v>11</v>
      </c>
      <c r="W75" s="11">
        <v>13</v>
      </c>
      <c r="X75" s="5">
        <f t="shared" si="5"/>
        <v>70</v>
      </c>
      <c r="Y75" s="11" t="s">
        <v>289</v>
      </c>
      <c r="Z75" s="11">
        <v>11</v>
      </c>
    </row>
    <row r="76" spans="1:26" s="12" customFormat="1" ht="20.100000000000001" customHeight="1" x14ac:dyDescent="0.25">
      <c r="A76" s="13" t="str">
        <f>("7")</f>
        <v>7</v>
      </c>
      <c r="B76" s="14" t="s">
        <v>40</v>
      </c>
      <c r="C76" s="14" t="s">
        <v>41</v>
      </c>
      <c r="D76" s="15" t="s">
        <v>42</v>
      </c>
      <c r="E76" s="14" t="s">
        <v>43</v>
      </c>
      <c r="F76" s="16" t="s">
        <v>39</v>
      </c>
      <c r="G76" s="17" t="str">
        <f>("198207")</f>
        <v>198207</v>
      </c>
      <c r="H76" s="15" t="s">
        <v>0</v>
      </c>
      <c r="I76" s="11">
        <v>4</v>
      </c>
      <c r="J76" s="11">
        <v>0</v>
      </c>
      <c r="K76" s="11">
        <v>2</v>
      </c>
      <c r="L76" s="11">
        <v>9</v>
      </c>
      <c r="M76" s="11">
        <v>5</v>
      </c>
      <c r="N76" s="11">
        <v>0</v>
      </c>
      <c r="O76" s="11">
        <v>3</v>
      </c>
      <c r="P76" s="11">
        <v>5</v>
      </c>
      <c r="Q76" s="11">
        <v>3</v>
      </c>
      <c r="R76" s="11">
        <v>4</v>
      </c>
      <c r="S76" s="11">
        <v>0</v>
      </c>
      <c r="T76" s="11">
        <v>3</v>
      </c>
      <c r="U76" s="11">
        <v>5</v>
      </c>
      <c r="V76" s="11">
        <v>15</v>
      </c>
      <c r="W76" s="11">
        <v>15</v>
      </c>
      <c r="X76" s="5">
        <f t="shared" si="5"/>
        <v>73</v>
      </c>
      <c r="Y76" s="11" t="s">
        <v>290</v>
      </c>
      <c r="Z76" s="11">
        <v>10</v>
      </c>
    </row>
    <row r="77" spans="1:26" s="12" customFormat="1" ht="20.100000000000001" customHeight="1" x14ac:dyDescent="0.25">
      <c r="A77" s="13" t="str">
        <f>("213")</f>
        <v>213</v>
      </c>
      <c r="B77" s="14" t="s">
        <v>173</v>
      </c>
      <c r="C77" s="14" t="s">
        <v>93</v>
      </c>
      <c r="D77" s="15" t="s">
        <v>42</v>
      </c>
      <c r="E77" s="14" t="s">
        <v>174</v>
      </c>
      <c r="F77" s="16" t="s">
        <v>39</v>
      </c>
      <c r="G77" s="17" t="str">
        <f>("199918")</f>
        <v>199918</v>
      </c>
      <c r="H77" s="15" t="s">
        <v>0</v>
      </c>
      <c r="I77" s="11">
        <v>5</v>
      </c>
      <c r="J77" s="11">
        <v>0</v>
      </c>
      <c r="K77" s="11">
        <v>2</v>
      </c>
      <c r="L77" s="11">
        <v>0</v>
      </c>
      <c r="M77" s="11">
        <v>4</v>
      </c>
      <c r="N77" s="11">
        <v>6</v>
      </c>
      <c r="O77" s="11">
        <v>3</v>
      </c>
      <c r="P77" s="11">
        <v>1</v>
      </c>
      <c r="Q77" s="11">
        <v>7</v>
      </c>
      <c r="R77" s="11">
        <v>5</v>
      </c>
      <c r="S77" s="11">
        <v>1</v>
      </c>
      <c r="T77" s="11">
        <v>5</v>
      </c>
      <c r="U77" s="11">
        <v>15</v>
      </c>
      <c r="V77" s="11">
        <v>13</v>
      </c>
      <c r="W77" s="11">
        <v>10</v>
      </c>
      <c r="X77" s="5">
        <f t="shared" si="5"/>
        <v>77</v>
      </c>
      <c r="Y77" s="11" t="s">
        <v>291</v>
      </c>
      <c r="Z77" s="11">
        <v>9</v>
      </c>
    </row>
    <row r="78" spans="1:26" s="12" customFormat="1" ht="20.100000000000001" customHeight="1" x14ac:dyDescent="0.25">
      <c r="A78" s="13" t="str">
        <f>("523")</f>
        <v>523</v>
      </c>
      <c r="B78" s="14" t="s">
        <v>251</v>
      </c>
      <c r="C78" s="14" t="s">
        <v>249</v>
      </c>
      <c r="D78" s="15" t="s">
        <v>42</v>
      </c>
      <c r="E78" s="14" t="s">
        <v>252</v>
      </c>
      <c r="F78" s="16" t="s">
        <v>39</v>
      </c>
      <c r="G78" s="17" t="str">
        <f>("191912")</f>
        <v>191912</v>
      </c>
      <c r="H78" s="15" t="s">
        <v>73</v>
      </c>
      <c r="I78" s="11">
        <v>2</v>
      </c>
      <c r="J78" s="11">
        <v>1</v>
      </c>
      <c r="K78" s="11">
        <v>4</v>
      </c>
      <c r="L78" s="11">
        <v>11</v>
      </c>
      <c r="M78" s="11">
        <v>8</v>
      </c>
      <c r="N78" s="11">
        <v>6</v>
      </c>
      <c r="O78" s="11">
        <v>2</v>
      </c>
      <c r="P78" s="11">
        <v>3</v>
      </c>
      <c r="Q78" s="11">
        <v>1</v>
      </c>
      <c r="R78" s="11">
        <v>2</v>
      </c>
      <c r="S78" s="11">
        <v>1</v>
      </c>
      <c r="T78" s="11">
        <v>3</v>
      </c>
      <c r="U78" s="11">
        <v>15</v>
      </c>
      <c r="V78" s="11">
        <v>15</v>
      </c>
      <c r="W78" s="11">
        <v>15</v>
      </c>
      <c r="X78" s="5">
        <f t="shared" si="5"/>
        <v>89</v>
      </c>
      <c r="Y78" s="11" t="s">
        <v>292</v>
      </c>
      <c r="Z78" s="11">
        <v>8</v>
      </c>
    </row>
    <row r="79" spans="1:26" s="12" customFormat="1" ht="20.100000000000001" customHeight="1" x14ac:dyDescent="0.25">
      <c r="A79" s="13" t="str">
        <f>("50")</f>
        <v>50</v>
      </c>
      <c r="B79" s="14" t="s">
        <v>92</v>
      </c>
      <c r="C79" s="14" t="s">
        <v>93</v>
      </c>
      <c r="D79" s="15" t="s">
        <v>42</v>
      </c>
      <c r="E79" s="14" t="s">
        <v>94</v>
      </c>
      <c r="F79" s="16" t="s">
        <v>39</v>
      </c>
      <c r="G79" s="17" t="str">
        <f>("123120")</f>
        <v>123120</v>
      </c>
      <c r="H79" s="15" t="s">
        <v>95</v>
      </c>
      <c r="I79" s="11" t="s">
        <v>283</v>
      </c>
      <c r="J79" s="11" t="s">
        <v>283</v>
      </c>
      <c r="K79" s="11" t="s">
        <v>283</v>
      </c>
      <c r="L79" s="11" t="s">
        <v>283</v>
      </c>
      <c r="M79" s="11" t="s">
        <v>283</v>
      </c>
      <c r="N79" s="11" t="s">
        <v>283</v>
      </c>
      <c r="O79" s="11" t="s">
        <v>283</v>
      </c>
      <c r="P79" s="11" t="s">
        <v>283</v>
      </c>
      <c r="Q79" s="11" t="s">
        <v>283</v>
      </c>
      <c r="R79" s="11" t="s">
        <v>283</v>
      </c>
      <c r="S79" s="11" t="s">
        <v>283</v>
      </c>
      <c r="T79" s="11" t="s">
        <v>283</v>
      </c>
      <c r="U79" s="11" t="s">
        <v>283</v>
      </c>
      <c r="V79" s="11" t="s">
        <v>283</v>
      </c>
      <c r="W79" s="11" t="s">
        <v>283</v>
      </c>
      <c r="X79" s="5" t="s">
        <v>283</v>
      </c>
      <c r="Y79" s="11" t="s">
        <v>283</v>
      </c>
      <c r="Z79" s="11">
        <v>0</v>
      </c>
    </row>
    <row r="80" spans="1:26" s="12" customFormat="1" ht="20.100000000000001" customHeight="1" x14ac:dyDescent="0.25">
      <c r="A80" s="13" t="str">
        <f>("428")</f>
        <v>428</v>
      </c>
      <c r="B80" s="14" t="s">
        <v>163</v>
      </c>
      <c r="C80" s="14" t="s">
        <v>229</v>
      </c>
      <c r="D80" s="15" t="s">
        <v>42</v>
      </c>
      <c r="E80" s="14" t="s">
        <v>230</v>
      </c>
      <c r="F80" s="16" t="s">
        <v>39</v>
      </c>
      <c r="G80" s="17" t="str">
        <f>("204715")</f>
        <v>204715</v>
      </c>
      <c r="H80" s="15" t="s">
        <v>0</v>
      </c>
      <c r="I80" s="11" t="s">
        <v>283</v>
      </c>
      <c r="J80" s="11" t="s">
        <v>283</v>
      </c>
      <c r="K80" s="11" t="s">
        <v>283</v>
      </c>
      <c r="L80" s="11" t="s">
        <v>283</v>
      </c>
      <c r="M80" s="11" t="s">
        <v>283</v>
      </c>
      <c r="N80" s="11" t="s">
        <v>283</v>
      </c>
      <c r="O80" s="11" t="s">
        <v>283</v>
      </c>
      <c r="P80" s="11" t="s">
        <v>283</v>
      </c>
      <c r="Q80" s="11" t="s">
        <v>283</v>
      </c>
      <c r="R80" s="11" t="s">
        <v>283</v>
      </c>
      <c r="S80" s="11" t="s">
        <v>283</v>
      </c>
      <c r="T80" s="11" t="s">
        <v>283</v>
      </c>
      <c r="U80" s="11" t="s">
        <v>283</v>
      </c>
      <c r="V80" s="11" t="s">
        <v>283</v>
      </c>
      <c r="W80" s="11" t="s">
        <v>283</v>
      </c>
      <c r="X80" s="5" t="s">
        <v>283</v>
      </c>
      <c r="Y80" s="11" t="s">
        <v>283</v>
      </c>
      <c r="Z80" s="11">
        <v>0</v>
      </c>
    </row>
    <row r="81" spans="1:26" s="12" customFormat="1" ht="20.100000000000001" customHeight="1" x14ac:dyDescent="0.25">
      <c r="A81" s="34"/>
      <c r="B81" s="36"/>
      <c r="C81" s="36"/>
      <c r="D81" s="38"/>
      <c r="E81" s="36"/>
      <c r="F81" s="46"/>
      <c r="G81" s="42"/>
      <c r="H81" s="38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5"/>
      <c r="Y81" s="31"/>
      <c r="Z81" s="31"/>
    </row>
    <row r="82" spans="1:26" s="12" customFormat="1" ht="20.100000000000001" customHeight="1" x14ac:dyDescent="0.25">
      <c r="A82" s="13" t="str">
        <f>("37")</f>
        <v>37</v>
      </c>
      <c r="B82" s="14" t="s">
        <v>86</v>
      </c>
      <c r="C82" s="14" t="s">
        <v>87</v>
      </c>
      <c r="D82" s="15" t="s">
        <v>68</v>
      </c>
      <c r="E82" s="14" t="s">
        <v>88</v>
      </c>
      <c r="F82" s="16" t="s">
        <v>39</v>
      </c>
      <c r="G82" s="17" t="str">
        <f>("116173")</f>
        <v>116173</v>
      </c>
      <c r="H82" s="15" t="s">
        <v>0</v>
      </c>
      <c r="I82" s="11">
        <v>6</v>
      </c>
      <c r="J82" s="11">
        <v>1</v>
      </c>
      <c r="K82" s="11">
        <v>0</v>
      </c>
      <c r="L82" s="11">
        <v>0</v>
      </c>
      <c r="M82" s="11">
        <v>2</v>
      </c>
      <c r="N82" s="11">
        <v>1</v>
      </c>
      <c r="O82" s="11">
        <v>0</v>
      </c>
      <c r="P82" s="11">
        <v>1</v>
      </c>
      <c r="Q82" s="11">
        <v>0</v>
      </c>
      <c r="R82" s="11">
        <v>0</v>
      </c>
      <c r="S82" s="11">
        <v>0</v>
      </c>
      <c r="T82" s="11">
        <v>1</v>
      </c>
      <c r="U82" s="11">
        <v>6</v>
      </c>
      <c r="V82" s="11">
        <v>6</v>
      </c>
      <c r="W82" s="11">
        <v>5</v>
      </c>
      <c r="X82" s="5">
        <f t="shared" ref="X82:X87" si="6">SUM(I82:W82)</f>
        <v>29</v>
      </c>
      <c r="Y82" s="11" t="s">
        <v>285</v>
      </c>
      <c r="Z82" s="11">
        <v>20</v>
      </c>
    </row>
    <row r="83" spans="1:26" s="12" customFormat="1" ht="20.100000000000001" customHeight="1" x14ac:dyDescent="0.25">
      <c r="A83" s="13" t="str">
        <f>("23")</f>
        <v>23</v>
      </c>
      <c r="B83" s="14" t="s">
        <v>66</v>
      </c>
      <c r="C83" s="14" t="s">
        <v>67</v>
      </c>
      <c r="D83" s="15" t="s">
        <v>68</v>
      </c>
      <c r="E83" s="14" t="s">
        <v>69</v>
      </c>
      <c r="F83" s="16" t="s">
        <v>39</v>
      </c>
      <c r="G83" s="17" t="str">
        <f>("21708")</f>
        <v>21708</v>
      </c>
      <c r="H83" s="15" t="s">
        <v>0</v>
      </c>
      <c r="I83" s="11">
        <v>3</v>
      </c>
      <c r="J83" s="11">
        <v>0</v>
      </c>
      <c r="K83" s="11">
        <v>0</v>
      </c>
      <c r="L83" s="11">
        <v>3</v>
      </c>
      <c r="M83" s="11">
        <v>1</v>
      </c>
      <c r="N83" s="11">
        <v>1</v>
      </c>
      <c r="O83" s="11">
        <v>0</v>
      </c>
      <c r="P83" s="11">
        <v>0</v>
      </c>
      <c r="Q83" s="11">
        <v>3</v>
      </c>
      <c r="R83" s="11">
        <v>0</v>
      </c>
      <c r="S83" s="11">
        <v>0</v>
      </c>
      <c r="T83" s="11">
        <v>0</v>
      </c>
      <c r="U83" s="11">
        <v>13</v>
      </c>
      <c r="V83" s="11">
        <v>5</v>
      </c>
      <c r="W83" s="11">
        <v>13</v>
      </c>
      <c r="X83" s="5">
        <f t="shared" si="6"/>
        <v>42</v>
      </c>
      <c r="Y83" s="11" t="s">
        <v>286</v>
      </c>
      <c r="Z83" s="47">
        <v>17</v>
      </c>
    </row>
    <row r="84" spans="1:26" s="12" customFormat="1" ht="20.100000000000001" customHeight="1" x14ac:dyDescent="0.25">
      <c r="A84" s="13" t="str">
        <f>("49")</f>
        <v>49</v>
      </c>
      <c r="B84" s="14" t="s">
        <v>74</v>
      </c>
      <c r="C84" s="14" t="s">
        <v>89</v>
      </c>
      <c r="D84" s="15" t="s">
        <v>68</v>
      </c>
      <c r="E84" s="14" t="s">
        <v>90</v>
      </c>
      <c r="F84" s="16" t="s">
        <v>39</v>
      </c>
      <c r="G84" s="17" t="str">
        <f>("164400")</f>
        <v>164400</v>
      </c>
      <c r="H84" s="15" t="s">
        <v>91</v>
      </c>
      <c r="I84" s="11">
        <v>0</v>
      </c>
      <c r="J84" s="11">
        <v>1</v>
      </c>
      <c r="K84" s="11">
        <v>0</v>
      </c>
      <c r="L84" s="11">
        <v>4</v>
      </c>
      <c r="M84" s="11">
        <v>5</v>
      </c>
      <c r="N84" s="11">
        <v>0</v>
      </c>
      <c r="O84" s="11">
        <v>1</v>
      </c>
      <c r="P84" s="11">
        <v>1</v>
      </c>
      <c r="Q84" s="11">
        <v>0</v>
      </c>
      <c r="R84" s="11">
        <v>0</v>
      </c>
      <c r="S84" s="11">
        <v>1</v>
      </c>
      <c r="T84" s="11">
        <v>1</v>
      </c>
      <c r="U84" s="11">
        <v>13</v>
      </c>
      <c r="V84" s="11">
        <v>9</v>
      </c>
      <c r="W84" s="11">
        <v>10</v>
      </c>
      <c r="X84" s="5">
        <f t="shared" si="6"/>
        <v>46</v>
      </c>
      <c r="Y84" s="11" t="s">
        <v>287</v>
      </c>
      <c r="Z84" s="11">
        <v>15</v>
      </c>
    </row>
    <row r="85" spans="1:26" s="12" customFormat="1" ht="20.100000000000001" customHeight="1" x14ac:dyDescent="0.25">
      <c r="A85" s="13" t="str">
        <f>("57")</f>
        <v>57</v>
      </c>
      <c r="B85" s="14" t="s">
        <v>97</v>
      </c>
      <c r="C85" s="14" t="s">
        <v>98</v>
      </c>
      <c r="D85" s="15" t="s">
        <v>68</v>
      </c>
      <c r="E85" s="14" t="s">
        <v>99</v>
      </c>
      <c r="F85" s="16" t="s">
        <v>39</v>
      </c>
      <c r="G85" s="17" t="str">
        <f>("121323")</f>
        <v>121323</v>
      </c>
      <c r="H85" s="15" t="s">
        <v>0</v>
      </c>
      <c r="I85" s="11">
        <v>3</v>
      </c>
      <c r="J85" s="11">
        <v>0</v>
      </c>
      <c r="K85" s="11">
        <v>0</v>
      </c>
      <c r="L85" s="11">
        <v>7</v>
      </c>
      <c r="M85" s="11">
        <v>9</v>
      </c>
      <c r="N85" s="11">
        <v>1</v>
      </c>
      <c r="O85" s="11">
        <v>0</v>
      </c>
      <c r="P85" s="11">
        <v>0</v>
      </c>
      <c r="Q85" s="11">
        <v>5</v>
      </c>
      <c r="R85" s="11">
        <v>1</v>
      </c>
      <c r="S85" s="11">
        <v>0</v>
      </c>
      <c r="T85" s="11">
        <v>0</v>
      </c>
      <c r="U85" s="11">
        <v>4</v>
      </c>
      <c r="V85" s="11">
        <v>11</v>
      </c>
      <c r="W85" s="11">
        <v>15</v>
      </c>
      <c r="X85" s="5">
        <f t="shared" si="6"/>
        <v>56</v>
      </c>
      <c r="Y85" s="11" t="s">
        <v>288</v>
      </c>
      <c r="Z85" s="11">
        <v>13</v>
      </c>
    </row>
    <row r="86" spans="1:26" s="12" customFormat="1" ht="20.100000000000001" customHeight="1" x14ac:dyDescent="0.25">
      <c r="A86" s="13" t="str">
        <f>("174")</f>
        <v>174</v>
      </c>
      <c r="B86" s="14" t="s">
        <v>157</v>
      </c>
      <c r="C86" s="14" t="s">
        <v>158</v>
      </c>
      <c r="D86" s="15" t="s">
        <v>68</v>
      </c>
      <c r="E86" s="14" t="s">
        <v>159</v>
      </c>
      <c r="F86" s="16" t="s">
        <v>39</v>
      </c>
      <c r="G86" s="17" t="str">
        <f>("107604")</f>
        <v>107604</v>
      </c>
      <c r="H86" s="15" t="s">
        <v>0</v>
      </c>
      <c r="I86" s="11">
        <v>5</v>
      </c>
      <c r="J86" s="11">
        <v>0</v>
      </c>
      <c r="K86" s="11">
        <v>2</v>
      </c>
      <c r="L86" s="11">
        <v>3</v>
      </c>
      <c r="M86" s="11">
        <v>8</v>
      </c>
      <c r="N86" s="11">
        <v>3</v>
      </c>
      <c r="O86" s="11">
        <v>0</v>
      </c>
      <c r="P86" s="11">
        <v>3</v>
      </c>
      <c r="Q86" s="11">
        <v>0</v>
      </c>
      <c r="R86" s="11">
        <v>0</v>
      </c>
      <c r="S86" s="11">
        <v>1</v>
      </c>
      <c r="T86" s="11">
        <v>5</v>
      </c>
      <c r="U86" s="11">
        <v>6</v>
      </c>
      <c r="V86" s="11">
        <v>7</v>
      </c>
      <c r="W86" s="11">
        <v>15</v>
      </c>
      <c r="X86" s="5">
        <f t="shared" si="6"/>
        <v>58</v>
      </c>
      <c r="Y86" s="11" t="s">
        <v>289</v>
      </c>
      <c r="Z86" s="11">
        <v>11</v>
      </c>
    </row>
    <row r="87" spans="1:26" s="12" customFormat="1" ht="20.100000000000001" customHeight="1" x14ac:dyDescent="0.25">
      <c r="A87" s="13" t="str">
        <f>("804")</f>
        <v>804</v>
      </c>
      <c r="B87" s="14" t="s">
        <v>163</v>
      </c>
      <c r="C87" s="14" t="s">
        <v>264</v>
      </c>
      <c r="D87" s="15" t="s">
        <v>68</v>
      </c>
      <c r="E87" s="14" t="s">
        <v>99</v>
      </c>
      <c r="F87" s="16" t="s">
        <v>39</v>
      </c>
      <c r="G87" s="17" t="str">
        <f>("118586")</f>
        <v>118586</v>
      </c>
      <c r="H87" s="15" t="s">
        <v>60</v>
      </c>
      <c r="I87" s="11">
        <v>4</v>
      </c>
      <c r="J87" s="11">
        <v>5</v>
      </c>
      <c r="K87" s="11">
        <v>0</v>
      </c>
      <c r="L87" s="11">
        <v>6</v>
      </c>
      <c r="M87" s="11">
        <v>2</v>
      </c>
      <c r="N87" s="11">
        <v>0</v>
      </c>
      <c r="O87" s="11">
        <v>1</v>
      </c>
      <c r="P87" s="11">
        <v>0</v>
      </c>
      <c r="Q87" s="11">
        <v>6</v>
      </c>
      <c r="R87" s="11">
        <v>5</v>
      </c>
      <c r="S87" s="11">
        <v>0</v>
      </c>
      <c r="T87" s="11">
        <v>1</v>
      </c>
      <c r="U87" s="11">
        <v>8</v>
      </c>
      <c r="V87" s="11">
        <v>13</v>
      </c>
      <c r="W87" s="11">
        <v>13</v>
      </c>
      <c r="X87" s="5">
        <f t="shared" si="6"/>
        <v>64</v>
      </c>
      <c r="Y87" s="11" t="s">
        <v>290</v>
      </c>
      <c r="Z87" s="11">
        <v>10</v>
      </c>
    </row>
    <row r="88" spans="1:26" s="12" customFormat="1" ht="20.100000000000001" customHeight="1" x14ac:dyDescent="0.25">
      <c r="A88" s="13"/>
      <c r="B88" s="14"/>
      <c r="C88" s="14"/>
      <c r="D88" s="15"/>
      <c r="E88" s="14"/>
      <c r="F88" s="16"/>
      <c r="G88" s="17"/>
      <c r="H88" s="15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5"/>
      <c r="Y88" s="11"/>
      <c r="Z88" s="11"/>
    </row>
    <row r="89" spans="1:26" s="12" customFormat="1" ht="20.100000000000001" customHeight="1" x14ac:dyDescent="0.25">
      <c r="A89" s="13" t="str">
        <f>("383")</f>
        <v>383</v>
      </c>
      <c r="B89" s="14" t="s">
        <v>211</v>
      </c>
      <c r="C89" s="14" t="s">
        <v>210</v>
      </c>
      <c r="D89" s="15" t="s">
        <v>96</v>
      </c>
      <c r="E89" s="14" t="s">
        <v>212</v>
      </c>
      <c r="F89" s="18"/>
      <c r="G89" s="17" t="str">
        <f>("134505")</f>
        <v>134505</v>
      </c>
      <c r="H89" s="15" t="s">
        <v>60</v>
      </c>
      <c r="I89" s="11">
        <v>3</v>
      </c>
      <c r="J89" s="11">
        <v>3</v>
      </c>
      <c r="K89" s="11">
        <v>0</v>
      </c>
      <c r="L89" s="11">
        <v>2</v>
      </c>
      <c r="M89" s="11">
        <v>0</v>
      </c>
      <c r="N89" s="11">
        <v>0</v>
      </c>
      <c r="O89" s="11">
        <v>1</v>
      </c>
      <c r="P89" s="11">
        <v>0</v>
      </c>
      <c r="Q89" s="11">
        <v>3</v>
      </c>
      <c r="R89" s="11">
        <v>0</v>
      </c>
      <c r="S89" s="11">
        <v>2</v>
      </c>
      <c r="T89" s="11">
        <v>1</v>
      </c>
      <c r="U89" s="11">
        <v>2</v>
      </c>
      <c r="V89" s="11">
        <v>2</v>
      </c>
      <c r="W89" s="11">
        <v>6</v>
      </c>
      <c r="X89" s="5">
        <f>SUM(I89:W89)</f>
        <v>25</v>
      </c>
      <c r="Y89" s="11" t="s">
        <v>285</v>
      </c>
      <c r="Z89" s="11">
        <v>20</v>
      </c>
    </row>
    <row r="90" spans="1:26" s="12" customFormat="1" ht="20.100000000000001" customHeight="1" x14ac:dyDescent="0.25">
      <c r="A90" s="13" t="str">
        <f>("441")</f>
        <v>441</v>
      </c>
      <c r="B90" s="14" t="s">
        <v>103</v>
      </c>
      <c r="C90" s="14" t="s">
        <v>235</v>
      </c>
      <c r="D90" s="15" t="s">
        <v>96</v>
      </c>
      <c r="E90" s="14" t="s">
        <v>212</v>
      </c>
      <c r="F90" s="18"/>
      <c r="G90" s="17" t="str">
        <f>("124853")</f>
        <v>124853</v>
      </c>
      <c r="H90" s="15" t="s">
        <v>126</v>
      </c>
      <c r="I90" s="11">
        <v>6</v>
      </c>
      <c r="J90" s="11">
        <v>0</v>
      </c>
      <c r="K90" s="11">
        <v>7</v>
      </c>
      <c r="L90" s="11">
        <v>0</v>
      </c>
      <c r="M90" s="11">
        <v>0</v>
      </c>
      <c r="N90" s="11">
        <v>0</v>
      </c>
      <c r="O90" s="11">
        <v>0</v>
      </c>
      <c r="P90" s="11">
        <v>5</v>
      </c>
      <c r="Q90" s="11">
        <v>6</v>
      </c>
      <c r="R90" s="11">
        <v>2</v>
      </c>
      <c r="S90" s="11">
        <v>0</v>
      </c>
      <c r="T90" s="11">
        <v>0</v>
      </c>
      <c r="U90" s="11">
        <v>2</v>
      </c>
      <c r="V90" s="11">
        <v>11</v>
      </c>
      <c r="W90" s="11">
        <v>1</v>
      </c>
      <c r="X90" s="5">
        <f>SUM(I90:W90)</f>
        <v>40</v>
      </c>
      <c r="Y90" s="11" t="s">
        <v>286</v>
      </c>
      <c r="Z90" s="47">
        <v>17</v>
      </c>
    </row>
    <row r="91" spans="1:26" s="12" customFormat="1" ht="20.100000000000001" customHeight="1" x14ac:dyDescent="0.25">
      <c r="A91" s="13" t="str">
        <f>("160")</f>
        <v>160</v>
      </c>
      <c r="B91" s="14" t="s">
        <v>135</v>
      </c>
      <c r="C91" s="14" t="s">
        <v>149</v>
      </c>
      <c r="D91" s="15" t="s">
        <v>96</v>
      </c>
      <c r="E91" s="14" t="s">
        <v>150</v>
      </c>
      <c r="F91" s="18"/>
      <c r="G91" s="17" t="str">
        <f>("20258")</f>
        <v>20258</v>
      </c>
      <c r="H91" s="15" t="s">
        <v>0</v>
      </c>
      <c r="I91" s="11">
        <v>5</v>
      </c>
      <c r="J91" s="11">
        <v>2</v>
      </c>
      <c r="K91" s="11">
        <v>13</v>
      </c>
      <c r="L91" s="11">
        <v>2</v>
      </c>
      <c r="M91" s="11">
        <v>5</v>
      </c>
      <c r="N91" s="11">
        <v>0</v>
      </c>
      <c r="O91" s="11">
        <v>1</v>
      </c>
      <c r="P91" s="11">
        <v>3</v>
      </c>
      <c r="Q91" s="11">
        <v>1</v>
      </c>
      <c r="R91" s="11">
        <v>5</v>
      </c>
      <c r="S91" s="11">
        <v>0</v>
      </c>
      <c r="T91" s="11">
        <v>1</v>
      </c>
      <c r="U91" s="11">
        <v>8</v>
      </c>
      <c r="V91" s="11">
        <v>10</v>
      </c>
      <c r="W91" s="11">
        <v>3</v>
      </c>
      <c r="X91" s="5">
        <f>SUM(I91:W91)</f>
        <v>59</v>
      </c>
      <c r="Y91" s="11" t="s">
        <v>287</v>
      </c>
      <c r="Z91" s="11">
        <v>15</v>
      </c>
    </row>
    <row r="92" spans="1:26" s="12" customFormat="1" ht="20.100000000000001" customHeight="1" x14ac:dyDescent="0.25">
      <c r="A92" s="13" t="str">
        <f>("157")</f>
        <v>157</v>
      </c>
      <c r="B92" s="14" t="s">
        <v>147</v>
      </c>
      <c r="C92" s="14" t="s">
        <v>148</v>
      </c>
      <c r="D92" s="15" t="s">
        <v>96</v>
      </c>
      <c r="E92" s="14" t="s">
        <v>99</v>
      </c>
      <c r="F92" s="18"/>
      <c r="G92" s="17" t="str">
        <f>("89636")</f>
        <v>89636</v>
      </c>
      <c r="H92" s="15" t="s">
        <v>126</v>
      </c>
      <c r="I92" s="11">
        <v>5</v>
      </c>
      <c r="J92" s="11">
        <v>15</v>
      </c>
      <c r="K92" s="11">
        <v>10</v>
      </c>
      <c r="L92" s="11">
        <v>1</v>
      </c>
      <c r="M92" s="11">
        <v>0</v>
      </c>
      <c r="N92" s="11">
        <v>15</v>
      </c>
      <c r="O92" s="11">
        <v>2</v>
      </c>
      <c r="P92" s="11">
        <v>0</v>
      </c>
      <c r="Q92" s="11">
        <v>1</v>
      </c>
      <c r="R92" s="11">
        <v>0</v>
      </c>
      <c r="S92" s="11">
        <v>0</v>
      </c>
      <c r="T92" s="11">
        <v>0</v>
      </c>
      <c r="U92" s="11">
        <v>15</v>
      </c>
      <c r="V92" s="11">
        <v>11</v>
      </c>
      <c r="W92" s="11">
        <v>13</v>
      </c>
      <c r="X92" s="5">
        <f>SUM(I92:W92)</f>
        <v>88</v>
      </c>
      <c r="Y92" s="11" t="s">
        <v>288</v>
      </c>
      <c r="Z92" s="11">
        <v>13</v>
      </c>
    </row>
    <row r="93" spans="1:26" s="12" customFormat="1" ht="20.100000000000001" customHeight="1" x14ac:dyDescent="0.25">
      <c r="A93" s="13"/>
      <c r="B93" s="14"/>
      <c r="C93" s="14"/>
      <c r="D93" s="15"/>
      <c r="E93" s="14"/>
      <c r="F93" s="44"/>
      <c r="G93" s="17"/>
      <c r="H93" s="15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5"/>
      <c r="Y93" s="11"/>
      <c r="Z93" s="11"/>
    </row>
    <row r="94" spans="1:26" s="12" customFormat="1" ht="20.100000000000001" customHeight="1" x14ac:dyDescent="0.25">
      <c r="A94" s="13" t="str">
        <f>("190")</f>
        <v>190</v>
      </c>
      <c r="B94" s="14" t="s">
        <v>167</v>
      </c>
      <c r="C94" s="14" t="s">
        <v>168</v>
      </c>
      <c r="D94" s="15" t="s">
        <v>46</v>
      </c>
      <c r="E94" s="14" t="s">
        <v>43</v>
      </c>
      <c r="F94" s="16" t="s">
        <v>39</v>
      </c>
      <c r="G94" s="17" t="str">
        <f>("11704")</f>
        <v>11704</v>
      </c>
      <c r="H94" s="15" t="s">
        <v>169</v>
      </c>
      <c r="I94" s="11">
        <v>1</v>
      </c>
      <c r="J94" s="11">
        <v>0</v>
      </c>
      <c r="K94" s="11">
        <v>0</v>
      </c>
      <c r="L94" s="11">
        <v>0</v>
      </c>
      <c r="M94" s="11">
        <v>0</v>
      </c>
      <c r="N94" s="11">
        <v>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1</v>
      </c>
      <c r="V94" s="11">
        <v>2</v>
      </c>
      <c r="W94" s="11">
        <v>11</v>
      </c>
      <c r="X94" s="5">
        <f t="shared" ref="X94:X105" si="7">SUM(I94:W94)</f>
        <v>17</v>
      </c>
      <c r="Y94" s="11" t="s">
        <v>285</v>
      </c>
      <c r="Z94" s="11">
        <v>20</v>
      </c>
    </row>
    <row r="95" spans="1:26" s="12" customFormat="1" ht="20.100000000000001" customHeight="1" x14ac:dyDescent="0.25">
      <c r="A95" s="13" t="str">
        <f>("223")</f>
        <v>223</v>
      </c>
      <c r="B95" s="14" t="s">
        <v>70</v>
      </c>
      <c r="C95" s="14" t="s">
        <v>177</v>
      </c>
      <c r="D95" s="15" t="s">
        <v>46</v>
      </c>
      <c r="E95" s="14" t="s">
        <v>178</v>
      </c>
      <c r="F95" s="16" t="s">
        <v>39</v>
      </c>
      <c r="G95" s="17" t="str">
        <f>("146196")</f>
        <v>146196</v>
      </c>
      <c r="H95" s="15" t="s">
        <v>126</v>
      </c>
      <c r="I95" s="11">
        <v>1</v>
      </c>
      <c r="J95" s="11">
        <v>0</v>
      </c>
      <c r="K95" s="11">
        <v>2</v>
      </c>
      <c r="L95" s="11">
        <v>1</v>
      </c>
      <c r="M95" s="11">
        <v>1</v>
      </c>
      <c r="N95" s="11">
        <v>0</v>
      </c>
      <c r="O95" s="11">
        <v>1</v>
      </c>
      <c r="P95" s="11">
        <v>0</v>
      </c>
      <c r="Q95" s="11">
        <v>1</v>
      </c>
      <c r="R95" s="11">
        <v>2</v>
      </c>
      <c r="S95" s="11">
        <v>0</v>
      </c>
      <c r="T95" s="11">
        <v>1</v>
      </c>
      <c r="U95" s="11">
        <v>5</v>
      </c>
      <c r="V95" s="11">
        <v>5</v>
      </c>
      <c r="W95" s="11">
        <v>2</v>
      </c>
      <c r="X95" s="5">
        <f t="shared" si="7"/>
        <v>22</v>
      </c>
      <c r="Y95" s="11" t="s">
        <v>286</v>
      </c>
      <c r="Z95" s="47">
        <v>17</v>
      </c>
    </row>
    <row r="96" spans="1:26" s="12" customFormat="1" ht="20.100000000000001" customHeight="1" x14ac:dyDescent="0.25">
      <c r="A96" s="13" t="str">
        <f>("102")</f>
        <v>102</v>
      </c>
      <c r="B96" s="14" t="s">
        <v>127</v>
      </c>
      <c r="C96" s="14" t="s">
        <v>128</v>
      </c>
      <c r="D96" s="15" t="s">
        <v>46</v>
      </c>
      <c r="E96" s="14" t="s">
        <v>129</v>
      </c>
      <c r="F96" s="16" t="s">
        <v>39</v>
      </c>
      <c r="G96" s="17" t="str">
        <f>("53409")</f>
        <v>53409</v>
      </c>
      <c r="H96" s="15" t="s">
        <v>0</v>
      </c>
      <c r="I96" s="11">
        <v>1</v>
      </c>
      <c r="J96" s="11">
        <v>0</v>
      </c>
      <c r="K96" s="11">
        <v>1</v>
      </c>
      <c r="L96" s="11">
        <v>3</v>
      </c>
      <c r="M96" s="11">
        <v>1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4</v>
      </c>
      <c r="V96" s="11">
        <v>9</v>
      </c>
      <c r="W96" s="11">
        <v>12</v>
      </c>
      <c r="X96" s="5">
        <f t="shared" si="7"/>
        <v>31</v>
      </c>
      <c r="Y96" s="11" t="s">
        <v>287</v>
      </c>
      <c r="Z96" s="11">
        <v>15</v>
      </c>
    </row>
    <row r="97" spans="1:26" s="12" customFormat="1" ht="20.100000000000001" customHeight="1" x14ac:dyDescent="0.25">
      <c r="A97" s="13" t="str">
        <f>("125")</f>
        <v>125</v>
      </c>
      <c r="B97" s="14" t="s">
        <v>141</v>
      </c>
      <c r="C97" s="14" t="s">
        <v>137</v>
      </c>
      <c r="D97" s="15" t="s">
        <v>46</v>
      </c>
      <c r="E97" s="14" t="s">
        <v>142</v>
      </c>
      <c r="F97" s="16" t="s">
        <v>39</v>
      </c>
      <c r="G97" s="17" t="str">
        <f>("53276")</f>
        <v>53276</v>
      </c>
      <c r="H97" s="15" t="s">
        <v>0</v>
      </c>
      <c r="I97" s="11">
        <v>3</v>
      </c>
      <c r="J97" s="11">
        <v>0</v>
      </c>
      <c r="K97" s="11">
        <v>0</v>
      </c>
      <c r="L97" s="11">
        <v>2</v>
      </c>
      <c r="M97" s="11">
        <v>0</v>
      </c>
      <c r="N97" s="11">
        <v>0</v>
      </c>
      <c r="O97" s="11">
        <v>1</v>
      </c>
      <c r="P97" s="11">
        <v>0</v>
      </c>
      <c r="Q97" s="11">
        <v>2</v>
      </c>
      <c r="R97" s="11">
        <v>0</v>
      </c>
      <c r="S97" s="11">
        <v>0</v>
      </c>
      <c r="T97" s="11">
        <v>1</v>
      </c>
      <c r="U97" s="11">
        <v>4</v>
      </c>
      <c r="V97" s="11">
        <v>9</v>
      </c>
      <c r="W97" s="11">
        <v>11</v>
      </c>
      <c r="X97" s="5">
        <f t="shared" si="7"/>
        <v>33</v>
      </c>
      <c r="Y97" s="11" t="s">
        <v>288</v>
      </c>
      <c r="Z97" s="11">
        <v>13</v>
      </c>
    </row>
    <row r="98" spans="1:26" s="12" customFormat="1" ht="20.100000000000001" customHeight="1" x14ac:dyDescent="0.25">
      <c r="A98" s="13" t="str">
        <f>("708")</f>
        <v>708</v>
      </c>
      <c r="B98" s="14" t="s">
        <v>70</v>
      </c>
      <c r="C98" s="14" t="s">
        <v>255</v>
      </c>
      <c r="D98" s="15" t="s">
        <v>46</v>
      </c>
      <c r="E98" s="14" t="s">
        <v>256</v>
      </c>
      <c r="F98" s="16" t="s">
        <v>39</v>
      </c>
      <c r="G98" s="17" t="str">
        <f>("10263")</f>
        <v>10263</v>
      </c>
      <c r="H98" s="15" t="s">
        <v>0</v>
      </c>
      <c r="I98" s="11">
        <v>3</v>
      </c>
      <c r="J98" s="11">
        <v>0</v>
      </c>
      <c r="K98" s="11">
        <v>1</v>
      </c>
      <c r="L98" s="11">
        <v>3</v>
      </c>
      <c r="M98" s="11">
        <v>5</v>
      </c>
      <c r="N98" s="11">
        <v>0</v>
      </c>
      <c r="O98" s="11">
        <v>1</v>
      </c>
      <c r="P98" s="11">
        <v>0</v>
      </c>
      <c r="Q98" s="11">
        <v>3</v>
      </c>
      <c r="R98" s="11">
        <v>0</v>
      </c>
      <c r="S98" s="11">
        <v>5</v>
      </c>
      <c r="T98" s="11">
        <v>0</v>
      </c>
      <c r="U98" s="11">
        <v>9</v>
      </c>
      <c r="V98" s="11">
        <v>7</v>
      </c>
      <c r="W98" s="11">
        <v>10</v>
      </c>
      <c r="X98" s="5">
        <f t="shared" si="7"/>
        <v>47</v>
      </c>
      <c r="Y98" s="11" t="s">
        <v>289</v>
      </c>
      <c r="Z98" s="11">
        <v>11</v>
      </c>
    </row>
    <row r="99" spans="1:26" s="12" customFormat="1" ht="20.100000000000001" customHeight="1" x14ac:dyDescent="0.25">
      <c r="A99" s="13" t="str">
        <f>("83")</f>
        <v>83</v>
      </c>
      <c r="B99" s="14" t="s">
        <v>119</v>
      </c>
      <c r="C99" s="14" t="s">
        <v>120</v>
      </c>
      <c r="D99" s="15" t="s">
        <v>46</v>
      </c>
      <c r="E99" s="14" t="s">
        <v>47</v>
      </c>
      <c r="F99" s="16" t="s">
        <v>39</v>
      </c>
      <c r="G99" s="17" t="str">
        <f>("166177")</f>
        <v>166177</v>
      </c>
      <c r="H99" s="15" t="s">
        <v>95</v>
      </c>
      <c r="I99" s="11">
        <v>7</v>
      </c>
      <c r="J99" s="11">
        <v>0</v>
      </c>
      <c r="K99" s="11">
        <v>1</v>
      </c>
      <c r="L99" s="11">
        <v>0</v>
      </c>
      <c r="M99" s="11">
        <v>4</v>
      </c>
      <c r="N99" s="11">
        <v>0</v>
      </c>
      <c r="O99" s="11">
        <v>0</v>
      </c>
      <c r="P99" s="11">
        <v>1</v>
      </c>
      <c r="Q99" s="11">
        <v>2</v>
      </c>
      <c r="R99" s="11">
        <v>0</v>
      </c>
      <c r="S99" s="11">
        <v>0</v>
      </c>
      <c r="T99" s="11">
        <v>0</v>
      </c>
      <c r="U99" s="11">
        <v>7</v>
      </c>
      <c r="V99" s="11">
        <v>11</v>
      </c>
      <c r="W99" s="11">
        <v>15</v>
      </c>
      <c r="X99" s="5">
        <f t="shared" si="7"/>
        <v>48</v>
      </c>
      <c r="Y99" s="11" t="s">
        <v>290</v>
      </c>
      <c r="Z99" s="11">
        <v>10</v>
      </c>
    </row>
    <row r="100" spans="1:26" s="12" customFormat="1" ht="20.100000000000001" customHeight="1" x14ac:dyDescent="0.25">
      <c r="A100" s="13" t="str">
        <f>("16")</f>
        <v>16</v>
      </c>
      <c r="B100" s="14" t="s">
        <v>53</v>
      </c>
      <c r="C100" s="14" t="s">
        <v>54</v>
      </c>
      <c r="D100" s="15" t="s">
        <v>46</v>
      </c>
      <c r="E100" s="14" t="s">
        <v>47</v>
      </c>
      <c r="F100" s="16" t="s">
        <v>39</v>
      </c>
      <c r="G100" s="17" t="str">
        <f>("81191")</f>
        <v>81191</v>
      </c>
      <c r="H100" s="15" t="s">
        <v>55</v>
      </c>
      <c r="I100" s="11">
        <v>3</v>
      </c>
      <c r="J100" s="11">
        <v>0</v>
      </c>
      <c r="K100" s="11">
        <v>1</v>
      </c>
      <c r="L100" s="11">
        <v>4</v>
      </c>
      <c r="M100" s="11">
        <v>6</v>
      </c>
      <c r="N100" s="11">
        <v>0</v>
      </c>
      <c r="O100" s="11">
        <v>0</v>
      </c>
      <c r="P100" s="11">
        <v>5</v>
      </c>
      <c r="Q100" s="11">
        <v>0</v>
      </c>
      <c r="R100" s="11">
        <v>0</v>
      </c>
      <c r="S100" s="11">
        <v>1</v>
      </c>
      <c r="T100" s="11">
        <v>6</v>
      </c>
      <c r="U100" s="11">
        <v>3</v>
      </c>
      <c r="V100" s="11">
        <v>7</v>
      </c>
      <c r="W100" s="11">
        <v>13</v>
      </c>
      <c r="X100" s="5">
        <f t="shared" si="7"/>
        <v>49</v>
      </c>
      <c r="Y100" s="11" t="s">
        <v>291</v>
      </c>
      <c r="Z100" s="11">
        <v>9</v>
      </c>
    </row>
    <row r="101" spans="1:26" s="12" customFormat="1" ht="20.100000000000001" customHeight="1" x14ac:dyDescent="0.25">
      <c r="A101" s="13" t="str">
        <f>("210")</f>
        <v>210</v>
      </c>
      <c r="B101" s="14" t="s">
        <v>170</v>
      </c>
      <c r="C101" s="14" t="s">
        <v>171</v>
      </c>
      <c r="D101" s="15" t="s">
        <v>46</v>
      </c>
      <c r="E101" s="14" t="s">
        <v>172</v>
      </c>
      <c r="F101" s="16" t="s">
        <v>39</v>
      </c>
      <c r="G101" s="17" t="str">
        <f>("47137")</f>
        <v>47137</v>
      </c>
      <c r="H101" s="15" t="s">
        <v>0</v>
      </c>
      <c r="I101" s="11">
        <v>6</v>
      </c>
      <c r="J101" s="11">
        <v>0</v>
      </c>
      <c r="K101" s="11">
        <v>1</v>
      </c>
      <c r="L101" s="11">
        <v>6</v>
      </c>
      <c r="M101" s="11">
        <v>1</v>
      </c>
      <c r="N101" s="11">
        <v>5</v>
      </c>
      <c r="O101" s="11">
        <v>1</v>
      </c>
      <c r="P101" s="11">
        <v>0</v>
      </c>
      <c r="Q101" s="11">
        <v>0</v>
      </c>
      <c r="R101" s="11">
        <v>1</v>
      </c>
      <c r="S101" s="11">
        <v>1</v>
      </c>
      <c r="T101" s="11">
        <v>5</v>
      </c>
      <c r="U101" s="11">
        <v>13</v>
      </c>
      <c r="V101" s="11">
        <v>8</v>
      </c>
      <c r="W101" s="11">
        <v>9</v>
      </c>
      <c r="X101" s="5">
        <f t="shared" si="7"/>
        <v>57</v>
      </c>
      <c r="Y101" s="11" t="s">
        <v>292</v>
      </c>
      <c r="Z101" s="11">
        <v>8</v>
      </c>
    </row>
    <row r="102" spans="1:26" s="12" customFormat="1" ht="20.100000000000001" customHeight="1" x14ac:dyDescent="0.25">
      <c r="A102" s="13" t="str">
        <f>("88")</f>
        <v>88</v>
      </c>
      <c r="B102" s="14" t="s">
        <v>121</v>
      </c>
      <c r="C102" s="14" t="s">
        <v>122</v>
      </c>
      <c r="D102" s="15" t="s">
        <v>46</v>
      </c>
      <c r="E102" s="14" t="s">
        <v>118</v>
      </c>
      <c r="F102" s="16" t="s">
        <v>39</v>
      </c>
      <c r="G102" s="17" t="str">
        <f>("144169")</f>
        <v>144169</v>
      </c>
      <c r="H102" s="15" t="s">
        <v>73</v>
      </c>
      <c r="I102" s="11">
        <v>7</v>
      </c>
      <c r="J102" s="11">
        <v>0</v>
      </c>
      <c r="K102" s="11">
        <v>0</v>
      </c>
      <c r="L102" s="11">
        <v>5</v>
      </c>
      <c r="M102" s="11">
        <v>8</v>
      </c>
      <c r="N102" s="11">
        <v>5</v>
      </c>
      <c r="O102" s="11">
        <v>0</v>
      </c>
      <c r="P102" s="11">
        <v>4</v>
      </c>
      <c r="Q102" s="11">
        <v>1</v>
      </c>
      <c r="R102" s="11">
        <v>0</v>
      </c>
      <c r="S102" s="11">
        <v>0</v>
      </c>
      <c r="T102" s="11">
        <v>1</v>
      </c>
      <c r="U102" s="11">
        <v>11</v>
      </c>
      <c r="V102" s="11">
        <v>7</v>
      </c>
      <c r="W102" s="11">
        <v>13</v>
      </c>
      <c r="X102" s="5">
        <f t="shared" si="7"/>
        <v>62</v>
      </c>
      <c r="Y102" s="11" t="s">
        <v>293</v>
      </c>
      <c r="Z102" s="11">
        <v>7</v>
      </c>
    </row>
    <row r="103" spans="1:26" s="12" customFormat="1" ht="20.100000000000001" customHeight="1" x14ac:dyDescent="0.25">
      <c r="A103" s="13" t="str">
        <f>("344")</f>
        <v>344</v>
      </c>
      <c r="B103" s="14" t="s">
        <v>202</v>
      </c>
      <c r="C103" s="14" t="s">
        <v>203</v>
      </c>
      <c r="D103" s="15" t="s">
        <v>46</v>
      </c>
      <c r="E103" s="14" t="s">
        <v>140</v>
      </c>
      <c r="F103" s="16" t="s">
        <v>39</v>
      </c>
      <c r="G103" s="17" t="str">
        <f>("27668")</f>
        <v>27668</v>
      </c>
      <c r="H103" s="15" t="s">
        <v>0</v>
      </c>
      <c r="I103" s="11">
        <v>9</v>
      </c>
      <c r="J103" s="11">
        <v>0</v>
      </c>
      <c r="K103" s="11">
        <v>1</v>
      </c>
      <c r="L103" s="11">
        <v>6</v>
      </c>
      <c r="M103" s="11">
        <v>6</v>
      </c>
      <c r="N103" s="11">
        <v>0</v>
      </c>
      <c r="O103" s="11">
        <v>2</v>
      </c>
      <c r="P103" s="11">
        <v>1</v>
      </c>
      <c r="Q103" s="11">
        <v>2</v>
      </c>
      <c r="R103" s="11">
        <v>0</v>
      </c>
      <c r="S103" s="11">
        <v>8</v>
      </c>
      <c r="T103" s="11">
        <v>3</v>
      </c>
      <c r="U103" s="11">
        <v>10</v>
      </c>
      <c r="V103" s="11">
        <v>9</v>
      </c>
      <c r="W103" s="11">
        <v>13</v>
      </c>
      <c r="X103" s="5">
        <f t="shared" si="7"/>
        <v>70</v>
      </c>
      <c r="Y103" s="11" t="s">
        <v>294</v>
      </c>
      <c r="Z103" s="11">
        <v>6</v>
      </c>
    </row>
    <row r="104" spans="1:26" s="12" customFormat="1" ht="20.100000000000001" customHeight="1" x14ac:dyDescent="0.25">
      <c r="A104" s="13" t="str">
        <f>("132")</f>
        <v>132</v>
      </c>
      <c r="B104" s="14" t="s">
        <v>145</v>
      </c>
      <c r="C104" s="14" t="s">
        <v>143</v>
      </c>
      <c r="D104" s="15" t="s">
        <v>46</v>
      </c>
      <c r="E104" s="14" t="s">
        <v>146</v>
      </c>
      <c r="F104" s="16" t="s">
        <v>39</v>
      </c>
      <c r="G104" s="17" t="str">
        <f>("177200")</f>
        <v>177200</v>
      </c>
      <c r="H104" s="15" t="s">
        <v>0</v>
      </c>
      <c r="I104" s="11">
        <v>10</v>
      </c>
      <c r="J104" s="11">
        <v>1</v>
      </c>
      <c r="K104" s="11">
        <v>3</v>
      </c>
      <c r="L104" s="11">
        <v>9</v>
      </c>
      <c r="M104" s="11">
        <v>11</v>
      </c>
      <c r="N104" s="11">
        <v>2</v>
      </c>
      <c r="O104" s="11">
        <v>5</v>
      </c>
      <c r="P104" s="11">
        <v>0</v>
      </c>
      <c r="Q104" s="11">
        <v>5</v>
      </c>
      <c r="R104" s="11">
        <v>5</v>
      </c>
      <c r="S104" s="11">
        <v>8</v>
      </c>
      <c r="T104" s="11">
        <v>12</v>
      </c>
      <c r="U104" s="11">
        <v>15</v>
      </c>
      <c r="V104" s="11">
        <v>9</v>
      </c>
      <c r="W104" s="11">
        <v>13</v>
      </c>
      <c r="X104" s="5">
        <f t="shared" si="7"/>
        <v>108</v>
      </c>
      <c r="Y104" s="11" t="s">
        <v>295</v>
      </c>
      <c r="Z104" s="11">
        <v>5</v>
      </c>
    </row>
    <row r="105" spans="1:26" s="12" customFormat="1" ht="20.100000000000001" customHeight="1" x14ac:dyDescent="0.25">
      <c r="A105" s="13" t="str">
        <f>("35")</f>
        <v>35</v>
      </c>
      <c r="B105" s="14" t="s">
        <v>79</v>
      </c>
      <c r="C105" s="14" t="s">
        <v>80</v>
      </c>
      <c r="D105" s="15" t="s">
        <v>46</v>
      </c>
      <c r="E105" s="14" t="s">
        <v>81</v>
      </c>
      <c r="F105" s="16" t="s">
        <v>39</v>
      </c>
      <c r="G105" s="17" t="str">
        <f>("148401")</f>
        <v>148401</v>
      </c>
      <c r="H105" s="15" t="s">
        <v>0</v>
      </c>
      <c r="I105" s="11">
        <v>10</v>
      </c>
      <c r="J105" s="11">
        <v>0</v>
      </c>
      <c r="K105" s="11">
        <v>7</v>
      </c>
      <c r="L105" s="11">
        <v>12</v>
      </c>
      <c r="M105" s="11">
        <v>9</v>
      </c>
      <c r="N105" s="11">
        <v>6</v>
      </c>
      <c r="O105" s="11">
        <v>3</v>
      </c>
      <c r="P105" s="11">
        <v>1</v>
      </c>
      <c r="Q105" s="11">
        <v>9</v>
      </c>
      <c r="R105" s="11">
        <v>11</v>
      </c>
      <c r="S105" s="11">
        <v>6</v>
      </c>
      <c r="T105" s="11">
        <v>7</v>
      </c>
      <c r="U105" s="11">
        <v>11</v>
      </c>
      <c r="V105" s="11">
        <v>10</v>
      </c>
      <c r="W105" s="11">
        <v>15</v>
      </c>
      <c r="X105" s="5">
        <f t="shared" si="7"/>
        <v>117</v>
      </c>
      <c r="Y105" s="11" t="s">
        <v>296</v>
      </c>
      <c r="Z105" s="11">
        <v>4</v>
      </c>
    </row>
    <row r="106" spans="1:26" s="12" customFormat="1" ht="20.100000000000001" customHeight="1" x14ac:dyDescent="0.25">
      <c r="A106" s="13" t="str">
        <f>("10")</f>
        <v>10</v>
      </c>
      <c r="B106" s="14" t="s">
        <v>44</v>
      </c>
      <c r="C106" s="14" t="s">
        <v>45</v>
      </c>
      <c r="D106" s="15" t="s">
        <v>46</v>
      </c>
      <c r="E106" s="14" t="s">
        <v>47</v>
      </c>
      <c r="F106" s="16" t="s">
        <v>39</v>
      </c>
      <c r="G106" s="17" t="str">
        <f>("80215")</f>
        <v>80215</v>
      </c>
      <c r="H106" s="15" t="s">
        <v>0</v>
      </c>
      <c r="I106" s="11" t="s">
        <v>283</v>
      </c>
      <c r="J106" s="11" t="s">
        <v>283</v>
      </c>
      <c r="K106" s="11" t="s">
        <v>283</v>
      </c>
      <c r="L106" s="11" t="s">
        <v>283</v>
      </c>
      <c r="M106" s="11" t="s">
        <v>283</v>
      </c>
      <c r="N106" s="11" t="s">
        <v>283</v>
      </c>
      <c r="O106" s="11" t="s">
        <v>283</v>
      </c>
      <c r="P106" s="11" t="s">
        <v>283</v>
      </c>
      <c r="Q106" s="11" t="s">
        <v>283</v>
      </c>
      <c r="R106" s="11" t="s">
        <v>283</v>
      </c>
      <c r="S106" s="11" t="s">
        <v>283</v>
      </c>
      <c r="T106" s="11" t="s">
        <v>283</v>
      </c>
      <c r="U106" s="11" t="s">
        <v>283</v>
      </c>
      <c r="V106" s="11" t="s">
        <v>283</v>
      </c>
      <c r="W106" s="11" t="s">
        <v>283</v>
      </c>
      <c r="X106" s="5" t="s">
        <v>283</v>
      </c>
      <c r="Y106" s="11" t="s">
        <v>283</v>
      </c>
      <c r="Z106" s="11">
        <v>0</v>
      </c>
    </row>
    <row r="107" spans="1:26" s="12" customFormat="1" ht="20.100000000000001" customHeight="1" x14ac:dyDescent="0.25">
      <c r="A107" s="13" t="str">
        <f>("63")</f>
        <v>63</v>
      </c>
      <c r="B107" s="14" t="s">
        <v>106</v>
      </c>
      <c r="C107" s="14" t="s">
        <v>107</v>
      </c>
      <c r="D107" s="15" t="s">
        <v>46</v>
      </c>
      <c r="E107" s="14" t="s">
        <v>108</v>
      </c>
      <c r="F107" s="16" t="s">
        <v>39</v>
      </c>
      <c r="G107" s="17" t="str">
        <f>("185750")</f>
        <v>185750</v>
      </c>
      <c r="H107" s="15" t="s">
        <v>0</v>
      </c>
      <c r="I107" s="11" t="s">
        <v>283</v>
      </c>
      <c r="J107" s="11" t="s">
        <v>283</v>
      </c>
      <c r="K107" s="11" t="s">
        <v>283</v>
      </c>
      <c r="L107" s="11" t="s">
        <v>283</v>
      </c>
      <c r="M107" s="11" t="s">
        <v>283</v>
      </c>
      <c r="N107" s="11" t="s">
        <v>283</v>
      </c>
      <c r="O107" s="11" t="s">
        <v>283</v>
      </c>
      <c r="P107" s="11" t="s">
        <v>283</v>
      </c>
      <c r="Q107" s="11" t="s">
        <v>283</v>
      </c>
      <c r="R107" s="11" t="s">
        <v>283</v>
      </c>
      <c r="S107" s="11" t="s">
        <v>283</v>
      </c>
      <c r="T107" s="11" t="s">
        <v>283</v>
      </c>
      <c r="U107" s="11" t="s">
        <v>283</v>
      </c>
      <c r="V107" s="11" t="s">
        <v>283</v>
      </c>
      <c r="W107" s="11" t="s">
        <v>283</v>
      </c>
      <c r="X107" s="5" t="s">
        <v>283</v>
      </c>
      <c r="Y107" s="11" t="s">
        <v>283</v>
      </c>
      <c r="Z107" s="11">
        <v>0</v>
      </c>
    </row>
    <row r="108" spans="1:26" s="12" customFormat="1" ht="20.100000000000001" customHeight="1" x14ac:dyDescent="0.25">
      <c r="A108" s="13" t="str">
        <f>("129")</f>
        <v>129</v>
      </c>
      <c r="B108" s="14" t="s">
        <v>123</v>
      </c>
      <c r="C108" s="14" t="s">
        <v>143</v>
      </c>
      <c r="D108" s="15" t="s">
        <v>46</v>
      </c>
      <c r="E108" s="14" t="s">
        <v>144</v>
      </c>
      <c r="F108" s="16" t="s">
        <v>39</v>
      </c>
      <c r="G108" s="17" t="str">
        <f>("91197")</f>
        <v>91197</v>
      </c>
      <c r="H108" s="15" t="s">
        <v>0</v>
      </c>
      <c r="I108" s="11" t="s">
        <v>283</v>
      </c>
      <c r="J108" s="11" t="s">
        <v>283</v>
      </c>
      <c r="K108" s="11" t="s">
        <v>283</v>
      </c>
      <c r="L108" s="11" t="s">
        <v>283</v>
      </c>
      <c r="M108" s="11" t="s">
        <v>283</v>
      </c>
      <c r="N108" s="11" t="s">
        <v>283</v>
      </c>
      <c r="O108" s="11" t="s">
        <v>283</v>
      </c>
      <c r="P108" s="11" t="s">
        <v>283</v>
      </c>
      <c r="Q108" s="11" t="s">
        <v>283</v>
      </c>
      <c r="R108" s="11" t="s">
        <v>283</v>
      </c>
      <c r="S108" s="11" t="s">
        <v>283</v>
      </c>
      <c r="T108" s="11" t="s">
        <v>283</v>
      </c>
      <c r="U108" s="11" t="s">
        <v>283</v>
      </c>
      <c r="V108" s="11" t="s">
        <v>283</v>
      </c>
      <c r="W108" s="11" t="s">
        <v>283</v>
      </c>
      <c r="X108" s="5" t="s">
        <v>283</v>
      </c>
      <c r="Y108" s="11" t="s">
        <v>283</v>
      </c>
      <c r="Z108" s="11"/>
    </row>
    <row r="109" spans="1:26" s="12" customFormat="1" ht="20.100000000000001" customHeight="1" x14ac:dyDescent="0.25">
      <c r="A109" s="24"/>
      <c r="B109" s="25"/>
      <c r="C109" s="25"/>
      <c r="D109" s="26"/>
      <c r="E109" s="25"/>
      <c r="F109" s="27"/>
      <c r="G109" s="28"/>
      <c r="H109" s="26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5"/>
      <c r="Y109" s="11"/>
      <c r="Z109" s="11"/>
    </row>
    <row r="110" spans="1:26" s="12" customFormat="1" ht="20.100000000000001" customHeight="1" x14ac:dyDescent="0.25">
      <c r="A110" s="24" t="str">
        <f>("73")</f>
        <v>73</v>
      </c>
      <c r="B110" s="25" t="s">
        <v>112</v>
      </c>
      <c r="C110" s="25" t="s">
        <v>113</v>
      </c>
      <c r="D110" s="26" t="s">
        <v>114</v>
      </c>
      <c r="E110" s="25" t="s">
        <v>115</v>
      </c>
      <c r="F110" s="41"/>
      <c r="G110" s="28" t="str">
        <f>("201204")</f>
        <v>201204</v>
      </c>
      <c r="H110" s="26" t="s">
        <v>116</v>
      </c>
      <c r="I110" s="11">
        <v>8</v>
      </c>
      <c r="J110" s="11">
        <v>0</v>
      </c>
      <c r="K110" s="11">
        <v>8</v>
      </c>
      <c r="L110" s="11">
        <v>3</v>
      </c>
      <c r="M110" s="11">
        <v>8</v>
      </c>
      <c r="N110" s="11">
        <v>5</v>
      </c>
      <c r="O110" s="11">
        <v>10</v>
      </c>
      <c r="P110" s="11">
        <v>3</v>
      </c>
      <c r="Q110" s="11">
        <v>10</v>
      </c>
      <c r="R110" s="11">
        <v>5</v>
      </c>
      <c r="S110" s="11">
        <v>0</v>
      </c>
      <c r="T110" s="11">
        <v>6</v>
      </c>
      <c r="U110" s="11">
        <v>11</v>
      </c>
      <c r="V110" s="11">
        <v>13</v>
      </c>
      <c r="W110" s="11">
        <v>9</v>
      </c>
      <c r="X110" s="5">
        <f>SUM(I110:W110)</f>
        <v>99</v>
      </c>
      <c r="Y110" s="11" t="s">
        <v>285</v>
      </c>
      <c r="Z110" s="11">
        <v>20</v>
      </c>
    </row>
    <row r="111" spans="1:26" s="12" customFormat="1" ht="20.100000000000001" customHeight="1" x14ac:dyDescent="0.25">
      <c r="A111" s="16">
        <v>459</v>
      </c>
      <c r="B111" s="29" t="s">
        <v>237</v>
      </c>
      <c r="C111" s="29" t="s">
        <v>187</v>
      </c>
      <c r="D111" s="29" t="s">
        <v>114</v>
      </c>
      <c r="E111" s="29" t="s">
        <v>238</v>
      </c>
      <c r="F111" s="19"/>
      <c r="G111" s="16">
        <v>197027</v>
      </c>
      <c r="H111" s="30" t="s">
        <v>0</v>
      </c>
      <c r="I111" s="11">
        <v>7</v>
      </c>
      <c r="J111" s="11">
        <v>2</v>
      </c>
      <c r="K111" s="11">
        <v>9</v>
      </c>
      <c r="L111" s="11">
        <v>7</v>
      </c>
      <c r="M111" s="11">
        <v>10</v>
      </c>
      <c r="N111" s="11">
        <v>15</v>
      </c>
      <c r="O111" s="11">
        <v>15</v>
      </c>
      <c r="P111" s="11">
        <v>2</v>
      </c>
      <c r="Q111" s="11">
        <v>11</v>
      </c>
      <c r="R111" s="11">
        <v>15</v>
      </c>
      <c r="S111" s="11">
        <v>1</v>
      </c>
      <c r="T111" s="11">
        <v>15</v>
      </c>
      <c r="U111" s="11">
        <v>15</v>
      </c>
      <c r="V111" s="11">
        <v>15</v>
      </c>
      <c r="W111" s="11">
        <v>13</v>
      </c>
      <c r="X111" s="48">
        <f>SUM(I111:W111)</f>
        <v>152</v>
      </c>
      <c r="Y111" s="11" t="s">
        <v>286</v>
      </c>
      <c r="Z111" s="11">
        <v>17</v>
      </c>
    </row>
    <row r="112" spans="1:26" s="12" customFormat="1" ht="20.100000000000001" customHeight="1" x14ac:dyDescent="0.25">
      <c r="A112" s="16"/>
      <c r="B112" s="29"/>
      <c r="C112" s="29"/>
      <c r="D112" s="29"/>
      <c r="E112" s="29"/>
      <c r="F112" s="44"/>
      <c r="G112" s="16"/>
      <c r="H112" s="3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48"/>
      <c r="Y112" s="11"/>
      <c r="Z112" s="11"/>
    </row>
    <row r="113" spans="1:26" s="12" customFormat="1" ht="20.100000000000001" customHeight="1" x14ac:dyDescent="0.25">
      <c r="A113" s="16">
        <v>1</v>
      </c>
      <c r="B113" s="29" t="s">
        <v>123</v>
      </c>
      <c r="C113" s="29" t="s">
        <v>124</v>
      </c>
      <c r="D113" s="29" t="s">
        <v>125</v>
      </c>
      <c r="E113" s="29" t="s">
        <v>115</v>
      </c>
      <c r="F113" s="16" t="s">
        <v>39</v>
      </c>
      <c r="G113" s="16" t="str">
        <f>("166122")</f>
        <v>166122</v>
      </c>
      <c r="H113" s="30" t="s">
        <v>126</v>
      </c>
      <c r="I113" s="11">
        <v>6</v>
      </c>
      <c r="J113" s="11">
        <v>0</v>
      </c>
      <c r="K113" s="11">
        <v>0</v>
      </c>
      <c r="L113" s="11">
        <v>15</v>
      </c>
      <c r="M113" s="11">
        <v>2</v>
      </c>
      <c r="N113" s="11">
        <v>2</v>
      </c>
      <c r="O113" s="11">
        <v>0</v>
      </c>
      <c r="P113" s="11">
        <v>1</v>
      </c>
      <c r="Q113" s="11">
        <v>12</v>
      </c>
      <c r="R113" s="11">
        <v>1</v>
      </c>
      <c r="S113" s="11">
        <v>1</v>
      </c>
      <c r="T113" s="11">
        <v>7</v>
      </c>
      <c r="U113" s="11">
        <v>9</v>
      </c>
      <c r="V113" s="11">
        <v>15</v>
      </c>
      <c r="W113" s="11">
        <v>15</v>
      </c>
      <c r="X113" s="5">
        <f>SUM(I113:W113)</f>
        <v>86</v>
      </c>
      <c r="Y113" s="11" t="s">
        <v>285</v>
      </c>
      <c r="Z113" s="11">
        <v>20</v>
      </c>
    </row>
    <row r="114" spans="1:26" s="32" customFormat="1" ht="20.100000000000001" customHeight="1" x14ac:dyDescent="0.25">
      <c r="A114" s="16" t="str">
        <f>("374")</f>
        <v>374</v>
      </c>
      <c r="B114" s="29" t="s">
        <v>127</v>
      </c>
      <c r="C114" s="29" t="s">
        <v>208</v>
      </c>
      <c r="D114" s="29" t="s">
        <v>125</v>
      </c>
      <c r="E114" s="29" t="s">
        <v>115</v>
      </c>
      <c r="F114" s="16" t="s">
        <v>39</v>
      </c>
      <c r="G114" s="16" t="str">
        <f>("178232")</f>
        <v>178232</v>
      </c>
      <c r="H114" s="30" t="s">
        <v>73</v>
      </c>
      <c r="I114" s="11">
        <v>4</v>
      </c>
      <c r="J114" s="11">
        <v>2</v>
      </c>
      <c r="K114" s="11">
        <v>1</v>
      </c>
      <c r="L114" s="11">
        <v>7</v>
      </c>
      <c r="M114" s="11">
        <v>13</v>
      </c>
      <c r="N114" s="11">
        <v>1</v>
      </c>
      <c r="O114" s="11">
        <v>0</v>
      </c>
      <c r="P114" s="11">
        <v>0</v>
      </c>
      <c r="Q114" s="11">
        <v>5</v>
      </c>
      <c r="R114" s="11">
        <v>15</v>
      </c>
      <c r="S114" s="11">
        <v>1</v>
      </c>
      <c r="T114" s="11">
        <v>7</v>
      </c>
      <c r="U114" s="11">
        <v>13</v>
      </c>
      <c r="V114" s="11">
        <v>11</v>
      </c>
      <c r="W114" s="11">
        <v>15</v>
      </c>
      <c r="X114" s="5">
        <f>SUM(I114:W114)</f>
        <v>95</v>
      </c>
      <c r="Y114" s="11" t="s">
        <v>286</v>
      </c>
      <c r="Z114" s="11">
        <v>17</v>
      </c>
    </row>
    <row r="115" spans="1:26" s="32" customFormat="1" ht="20.100000000000001" customHeight="1" x14ac:dyDescent="0.25">
      <c r="A115" s="16"/>
      <c r="B115" s="29"/>
      <c r="C115" s="29"/>
      <c r="D115" s="29"/>
      <c r="E115" s="29"/>
      <c r="F115" s="16"/>
      <c r="G115" s="16"/>
      <c r="H115" s="3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5"/>
      <c r="Y115" s="11"/>
      <c r="Z115" s="11"/>
    </row>
    <row r="116" spans="1:26" s="32" customFormat="1" ht="20.100000000000001" customHeight="1" x14ac:dyDescent="0.25">
      <c r="A116" s="16" t="str">
        <f>("282")</f>
        <v>282</v>
      </c>
      <c r="B116" s="29" t="s">
        <v>196</v>
      </c>
      <c r="C116" s="29" t="s">
        <v>197</v>
      </c>
      <c r="D116" s="29" t="s">
        <v>84</v>
      </c>
      <c r="E116" s="29" t="s">
        <v>115</v>
      </c>
      <c r="F116" s="18"/>
      <c r="G116" s="16" t="str">
        <f>("207771")</f>
        <v>207771</v>
      </c>
      <c r="H116" s="30" t="s">
        <v>198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2</v>
      </c>
      <c r="V116" s="11">
        <v>0</v>
      </c>
      <c r="W116" s="11">
        <v>0</v>
      </c>
      <c r="X116" s="5">
        <f>SUM(I116:W116)</f>
        <v>2</v>
      </c>
      <c r="Y116" s="11" t="s">
        <v>285</v>
      </c>
      <c r="Z116" s="11">
        <v>20</v>
      </c>
    </row>
    <row r="117" spans="1:26" s="32" customFormat="1" ht="20.100000000000001" customHeight="1" x14ac:dyDescent="0.25">
      <c r="A117" s="16" t="str">
        <f>("805")</f>
        <v>805</v>
      </c>
      <c r="B117" s="29" t="s">
        <v>182</v>
      </c>
      <c r="C117" s="29" t="s">
        <v>197</v>
      </c>
      <c r="D117" s="15" t="s">
        <v>84</v>
      </c>
      <c r="E117" s="29" t="s">
        <v>265</v>
      </c>
      <c r="F117" s="18"/>
      <c r="G117" s="16" t="str">
        <f>("209098")</f>
        <v>209098</v>
      </c>
      <c r="H117" s="30" t="s">
        <v>198</v>
      </c>
      <c r="I117" s="11">
        <v>1</v>
      </c>
      <c r="J117" s="11">
        <v>0</v>
      </c>
      <c r="K117" s="11">
        <v>1</v>
      </c>
      <c r="L117" s="11">
        <v>0</v>
      </c>
      <c r="M117" s="11">
        <v>1</v>
      </c>
      <c r="N117" s="11">
        <v>6</v>
      </c>
      <c r="O117" s="11">
        <v>0</v>
      </c>
      <c r="P117" s="11">
        <v>0</v>
      </c>
      <c r="Q117" s="11">
        <v>1</v>
      </c>
      <c r="R117" s="11">
        <v>0</v>
      </c>
      <c r="S117" s="11">
        <v>0</v>
      </c>
      <c r="T117" s="11">
        <v>0</v>
      </c>
      <c r="U117" s="11">
        <v>3</v>
      </c>
      <c r="V117" s="11">
        <v>1</v>
      </c>
      <c r="W117" s="11">
        <v>2</v>
      </c>
      <c r="X117" s="5">
        <f>SUM(I117:W117)</f>
        <v>16</v>
      </c>
      <c r="Y117" s="11" t="s">
        <v>286</v>
      </c>
      <c r="Z117" s="47">
        <v>17</v>
      </c>
    </row>
    <row r="118" spans="1:26" s="32" customFormat="1" ht="20.100000000000001" customHeight="1" x14ac:dyDescent="0.25">
      <c r="A118" s="16" t="str">
        <f>("522")</f>
        <v>522</v>
      </c>
      <c r="B118" s="29" t="s">
        <v>248</v>
      </c>
      <c r="C118" s="29" t="s">
        <v>249</v>
      </c>
      <c r="D118" s="29" t="s">
        <v>84</v>
      </c>
      <c r="E118" s="29" t="s">
        <v>250</v>
      </c>
      <c r="F118" s="18"/>
      <c r="G118" s="16" t="str">
        <f>("191998")</f>
        <v>191998</v>
      </c>
      <c r="H118" s="30" t="s">
        <v>73</v>
      </c>
      <c r="I118" s="11">
        <v>13</v>
      </c>
      <c r="J118" s="11">
        <v>15</v>
      </c>
      <c r="K118" s="11">
        <v>15</v>
      </c>
      <c r="L118" s="11">
        <v>15</v>
      </c>
      <c r="M118" s="11">
        <v>1</v>
      </c>
      <c r="N118" s="11">
        <v>8</v>
      </c>
      <c r="O118" s="11">
        <v>3</v>
      </c>
      <c r="P118" s="11">
        <v>0</v>
      </c>
      <c r="Q118" s="11">
        <v>9</v>
      </c>
      <c r="R118" s="11">
        <v>0</v>
      </c>
      <c r="S118" s="11">
        <v>1</v>
      </c>
      <c r="T118" s="11">
        <v>15</v>
      </c>
      <c r="U118" s="11">
        <v>15</v>
      </c>
      <c r="V118" s="11">
        <v>15</v>
      </c>
      <c r="W118" s="11">
        <v>15</v>
      </c>
      <c r="X118" s="5">
        <f>SUM(I118:W118)</f>
        <v>140</v>
      </c>
      <c r="Y118" s="11" t="s">
        <v>287</v>
      </c>
      <c r="Z118" s="11">
        <v>15</v>
      </c>
    </row>
    <row r="119" spans="1:26" s="12" customFormat="1" ht="20.100000000000001" customHeight="1" x14ac:dyDescent="0.25">
      <c r="A119" s="16" t="str">
        <f>("36")</f>
        <v>36</v>
      </c>
      <c r="B119" s="29" t="s">
        <v>82</v>
      </c>
      <c r="C119" s="29" t="s">
        <v>83</v>
      </c>
      <c r="D119" s="29" t="s">
        <v>84</v>
      </c>
      <c r="E119" s="29" t="s">
        <v>85</v>
      </c>
      <c r="F119" s="18"/>
      <c r="G119" s="16" t="str">
        <f>("180995")</f>
        <v>180995</v>
      </c>
      <c r="H119" s="29" t="s">
        <v>0</v>
      </c>
      <c r="I119" s="11" t="s">
        <v>283</v>
      </c>
      <c r="J119" s="11" t="s">
        <v>283</v>
      </c>
      <c r="K119" s="11" t="s">
        <v>283</v>
      </c>
      <c r="L119" s="11" t="s">
        <v>283</v>
      </c>
      <c r="M119" s="11" t="s">
        <v>283</v>
      </c>
      <c r="N119" s="11" t="s">
        <v>283</v>
      </c>
      <c r="O119" s="11" t="s">
        <v>283</v>
      </c>
      <c r="P119" s="11" t="s">
        <v>283</v>
      </c>
      <c r="Q119" s="11" t="s">
        <v>283</v>
      </c>
      <c r="R119" s="11" t="s">
        <v>283</v>
      </c>
      <c r="S119" s="11" t="s">
        <v>283</v>
      </c>
      <c r="T119" s="11" t="s">
        <v>283</v>
      </c>
      <c r="U119" s="11" t="s">
        <v>283</v>
      </c>
      <c r="V119" s="11" t="s">
        <v>283</v>
      </c>
      <c r="W119" s="11" t="s">
        <v>283</v>
      </c>
      <c r="X119" s="5" t="s">
        <v>283</v>
      </c>
      <c r="Y119" s="11" t="s">
        <v>283</v>
      </c>
      <c r="Z119" s="11">
        <v>0</v>
      </c>
    </row>
    <row r="120" spans="1:26" s="12" customFormat="1" ht="20.100000000000001" customHeight="1" x14ac:dyDescent="0.25">
      <c r="A120" s="16" t="str">
        <f>("393")</f>
        <v>393</v>
      </c>
      <c r="B120" s="29" t="s">
        <v>221</v>
      </c>
      <c r="C120" s="29" t="s">
        <v>222</v>
      </c>
      <c r="D120" s="29" t="s">
        <v>84</v>
      </c>
      <c r="E120" s="29" t="s">
        <v>223</v>
      </c>
      <c r="F120" s="18"/>
      <c r="G120" s="16" t="str">
        <f>("204153")</f>
        <v>204153</v>
      </c>
      <c r="H120" s="29" t="s">
        <v>0</v>
      </c>
      <c r="I120" s="11" t="s">
        <v>283</v>
      </c>
      <c r="J120" s="11" t="s">
        <v>283</v>
      </c>
      <c r="K120" s="11" t="s">
        <v>283</v>
      </c>
      <c r="L120" s="11" t="s">
        <v>283</v>
      </c>
      <c r="M120" s="11" t="s">
        <v>283</v>
      </c>
      <c r="N120" s="11" t="s">
        <v>283</v>
      </c>
      <c r="O120" s="11" t="s">
        <v>283</v>
      </c>
      <c r="P120" s="11" t="s">
        <v>283</v>
      </c>
      <c r="Q120" s="11" t="s">
        <v>283</v>
      </c>
      <c r="R120" s="11" t="s">
        <v>283</v>
      </c>
      <c r="S120" s="11" t="s">
        <v>283</v>
      </c>
      <c r="T120" s="11" t="s">
        <v>283</v>
      </c>
      <c r="U120" s="11" t="s">
        <v>283</v>
      </c>
      <c r="V120" s="11" t="s">
        <v>283</v>
      </c>
      <c r="W120" s="11" t="s">
        <v>283</v>
      </c>
      <c r="X120" s="5" t="s">
        <v>283</v>
      </c>
      <c r="Y120" s="11" t="s">
        <v>283</v>
      </c>
      <c r="Z120" s="11">
        <v>0</v>
      </c>
    </row>
  </sheetData>
  <sortState xmlns:xlrd2="http://schemas.microsoft.com/office/spreadsheetml/2017/richdata2" ref="A10:Z21">
    <sortCondition ref="X10:X21"/>
  </sortState>
  <mergeCells count="8">
    <mergeCell ref="A7:H7"/>
    <mergeCell ref="B9:C9"/>
    <mergeCell ref="A1:H1"/>
    <mergeCell ref="A2:H2"/>
    <mergeCell ref="A3:H3"/>
    <mergeCell ref="A4:H4"/>
    <mergeCell ref="A5:H5"/>
    <mergeCell ref="A6:H6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2022-05-08T04:37:02Z</dcterms:created>
  <dcterms:modified xsi:type="dcterms:W3CDTF">2022-05-11T04:54:12Z</dcterms:modified>
</cp:coreProperties>
</file>